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CE\PUCE\Sistema de acumulacion de costos\Clases\"/>
    </mc:Choice>
  </mc:AlternateContent>
  <xr:revisionPtr revIDLastSave="0" documentId="8_{607C2FAC-5DBC-4A7A-BC2D-4FC31A95DA0D}" xr6:coauthVersionLast="47" xr6:coauthVersionMax="47" xr10:uidLastSave="{00000000-0000-0000-0000-000000000000}"/>
  <bookViews>
    <workbookView xWindow="-108" yWindow="-108" windowWidth="23256" windowHeight="12456" firstSheet="6" activeTab="16" xr2:uid="{027C1765-4712-432C-9BC0-201DE97899CD}"/>
  </bookViews>
  <sheets>
    <sheet name="Hoja1" sheetId="1" r:id="rId1"/>
    <sheet name="Hoja7" sheetId="7" r:id="rId2"/>
    <sheet name="Hoja9" sheetId="9" r:id="rId3"/>
    <sheet name="Hoja10" sheetId="10" r:id="rId4"/>
    <sheet name="Hoja8" sheetId="8" r:id="rId5"/>
    <sheet name="Hoja3" sheetId="3" r:id="rId6"/>
    <sheet name="Hoja4" sheetId="4" r:id="rId7"/>
    <sheet name="TAREA1" sheetId="5" r:id="rId8"/>
    <sheet name="TAREA2" sheetId="6" r:id="rId9"/>
    <sheet name="UE" sheetId="11" r:id="rId10"/>
    <sheet name="UE1" sheetId="12" r:id="rId11"/>
    <sheet name="ejmeUE" sheetId="13" r:id="rId12"/>
    <sheet name="EJECostos " sheetId="14" r:id="rId13"/>
    <sheet name="MPD" sheetId="15" r:id="rId14"/>
    <sheet name="MOD" sheetId="16" r:id="rId15"/>
    <sheet name="CIF" sheetId="17" r:id="rId16"/>
    <sheet name="Hoja5" sheetId="18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18" l="1"/>
  <c r="H17" i="18"/>
  <c r="D14" i="18"/>
  <c r="H16" i="18" s="1"/>
  <c r="C14" i="18"/>
  <c r="H15" i="18"/>
  <c r="H14" i="18"/>
  <c r="H8" i="18"/>
  <c r="D8" i="18"/>
  <c r="H7" i="18"/>
  <c r="D7" i="18"/>
  <c r="E45" i="17"/>
  <c r="D46" i="17"/>
  <c r="D44" i="17"/>
  <c r="I39" i="17"/>
  <c r="I40" i="17" s="1"/>
  <c r="H40" i="17"/>
  <c r="G40" i="17"/>
  <c r="F40" i="17"/>
  <c r="G39" i="17"/>
  <c r="F39" i="17"/>
  <c r="E40" i="17"/>
  <c r="E39" i="17"/>
  <c r="D40" i="17"/>
  <c r="D39" i="17"/>
  <c r="D38" i="17"/>
  <c r="D37" i="17"/>
  <c r="I32" i="17"/>
  <c r="I31" i="17"/>
  <c r="I30" i="17"/>
  <c r="J24" i="17"/>
  <c r="I21" i="17"/>
  <c r="I20" i="17"/>
  <c r="I19" i="17"/>
  <c r="H11" i="17"/>
  <c r="G12" i="17"/>
  <c r="G11" i="17"/>
  <c r="I18" i="17"/>
  <c r="I17" i="17"/>
  <c r="E9" i="17"/>
  <c r="F8" i="17" s="1"/>
  <c r="E8" i="17"/>
  <c r="D29" i="16"/>
  <c r="C58" i="16"/>
  <c r="E52" i="16"/>
  <c r="E51" i="16"/>
  <c r="E50" i="16"/>
  <c r="E49" i="16"/>
  <c r="E48" i="16"/>
  <c r="E47" i="16"/>
  <c r="E46" i="16"/>
  <c r="G42" i="16"/>
  <c r="C33" i="16"/>
  <c r="E29" i="16"/>
  <c r="E33" i="16" s="1"/>
  <c r="P28" i="16"/>
  <c r="N30" i="16" s="1"/>
  <c r="C29" i="16"/>
  <c r="D23" i="16"/>
  <c r="E11" i="16"/>
  <c r="D13" i="16" s="1"/>
  <c r="AG60" i="15"/>
  <c r="AJ46" i="15"/>
  <c r="AH46" i="15"/>
  <c r="AG46" i="15"/>
  <c r="AG45" i="15"/>
  <c r="AJ44" i="15"/>
  <c r="AH59" i="15"/>
  <c r="AJ59" i="15" s="1"/>
  <c r="AD59" i="15"/>
  <c r="AD44" i="15"/>
  <c r="AH43" i="15"/>
  <c r="AJ43" i="15" s="1"/>
  <c r="AD43" i="15"/>
  <c r="U70" i="15"/>
  <c r="U69" i="15"/>
  <c r="X64" i="15"/>
  <c r="X63" i="15"/>
  <c r="W61" i="15"/>
  <c r="X65" i="15" s="1"/>
  <c r="W60" i="15"/>
  <c r="W54" i="15"/>
  <c r="W49" i="15"/>
  <c r="O61" i="15"/>
  <c r="Q45" i="15"/>
  <c r="R45" i="15"/>
  <c r="P45" i="15"/>
  <c r="O45" i="15"/>
  <c r="Q44" i="15"/>
  <c r="R44" i="15"/>
  <c r="P44" i="15"/>
  <c r="L44" i="15"/>
  <c r="E65" i="15"/>
  <c r="E64" i="15"/>
  <c r="E63" i="15"/>
  <c r="D61" i="15"/>
  <c r="D60" i="15"/>
  <c r="E57" i="15"/>
  <c r="E56" i="15"/>
  <c r="D55" i="15"/>
  <c r="D54" i="15"/>
  <c r="E52" i="15"/>
  <c r="E51" i="15"/>
  <c r="D50" i="15"/>
  <c r="D49" i="15"/>
  <c r="J18" i="14"/>
  <c r="J17" i="14"/>
  <c r="J16" i="14"/>
  <c r="J15" i="14"/>
  <c r="J14" i="14"/>
  <c r="J13" i="14"/>
  <c r="G18" i="14"/>
  <c r="G17" i="14"/>
  <c r="E18" i="14"/>
  <c r="E17" i="14"/>
  <c r="J12" i="14"/>
  <c r="J8" i="14"/>
  <c r="J6" i="14"/>
  <c r="J4" i="14"/>
  <c r="H14" i="13"/>
  <c r="H13" i="13"/>
  <c r="H12" i="13"/>
  <c r="H11" i="13"/>
  <c r="G13" i="13"/>
  <c r="G12" i="13"/>
  <c r="D14" i="13"/>
  <c r="F13" i="13"/>
  <c r="F12" i="13"/>
  <c r="F11" i="13"/>
  <c r="D13" i="13"/>
  <c r="D12" i="13"/>
  <c r="D11" i="13"/>
  <c r="B13" i="13"/>
  <c r="B12" i="13"/>
  <c r="Y17" i="11"/>
  <c r="R16" i="11"/>
  <c r="R15" i="11"/>
  <c r="Y14" i="11"/>
  <c r="Y11" i="11"/>
  <c r="Y8" i="11"/>
  <c r="X9" i="11"/>
  <c r="X8" i="11"/>
  <c r="S6" i="11"/>
  <c r="J12" i="11"/>
  <c r="E15" i="8"/>
  <c r="F43" i="16"/>
  <c r="C52" i="16"/>
  <c r="I33" i="17" l="1"/>
  <c r="I34" i="17" s="1"/>
  <c r="B33" i="16"/>
  <c r="F33" i="16"/>
  <c r="I29" i="16"/>
  <c r="J29" i="16"/>
  <c r="D33" i="16"/>
  <c r="C37" i="16"/>
  <c r="F13" i="16"/>
  <c r="D15" i="16"/>
  <c r="W50" i="15"/>
  <c r="X52" i="15" s="1"/>
  <c r="W55" i="15"/>
  <c r="X57" i="15" s="1"/>
  <c r="X51" i="15"/>
  <c r="X56" i="15"/>
  <c r="D37" i="16" l="1"/>
  <c r="G33" i="16"/>
  <c r="C38" i="16" s="1"/>
  <c r="D38" i="16" s="1"/>
  <c r="K29" i="16"/>
  <c r="D16" i="16"/>
  <c r="F16" i="16" s="1"/>
  <c r="F15" i="16"/>
  <c r="C39" i="16" l="1"/>
  <c r="D39" i="16"/>
  <c r="C57" i="16" l="1"/>
  <c r="C59" i="16" s="1"/>
  <c r="B70" i="15" l="1"/>
  <c r="B69" i="15"/>
  <c r="P59" i="15"/>
  <c r="R59" i="15" s="1"/>
  <c r="L59" i="15"/>
  <c r="P43" i="15"/>
  <c r="R43" i="15" s="1"/>
  <c r="L43" i="15"/>
  <c r="P33" i="11"/>
  <c r="P32" i="11"/>
  <c r="M29" i="11"/>
  <c r="N29" i="11" s="1"/>
  <c r="O28" i="11" s="1"/>
  <c r="D29" i="11"/>
  <c r="O26" i="11"/>
  <c r="O23" i="11"/>
  <c r="J23" i="11"/>
  <c r="P21" i="11"/>
  <c r="P20" i="11"/>
  <c r="P19" i="11"/>
  <c r="P18" i="11"/>
  <c r="P17" i="11"/>
  <c r="P16" i="11"/>
  <c r="P14" i="11"/>
  <c r="P13" i="11"/>
  <c r="P12" i="11"/>
  <c r="P11" i="11"/>
  <c r="K21" i="10"/>
  <c r="L20" i="10"/>
  <c r="K19" i="10"/>
  <c r="K16" i="10"/>
  <c r="K22" i="10"/>
  <c r="K25" i="10"/>
  <c r="O10" i="9"/>
  <c r="O7" i="9"/>
  <c r="O6" i="9"/>
  <c r="N6" i="9"/>
  <c r="L21" i="9"/>
  <c r="N18" i="9"/>
  <c r="L18" i="9"/>
  <c r="L15" i="9"/>
  <c r="L8" i="9"/>
  <c r="L6" i="9"/>
  <c r="L10" i="9"/>
  <c r="G27" i="7"/>
  <c r="L19" i="4" l="1"/>
  <c r="N25" i="4"/>
  <c r="L15" i="4"/>
  <c r="M14" i="4"/>
  <c r="L20" i="4"/>
  <c r="L12" i="4"/>
  <c r="M11" i="4"/>
  <c r="L13" i="4"/>
  <c r="L6" i="4"/>
  <c r="L7" i="4"/>
  <c r="L5" i="4"/>
  <c r="P4" i="4" l="1"/>
  <c r="P5" i="4" s="1"/>
  <c r="P8" i="4" s="1"/>
  <c r="K5" i="3"/>
  <c r="K7" i="3" s="1"/>
  <c r="K10" i="3" s="1"/>
  <c r="K13" i="3" s="1"/>
  <c r="K16" i="3" s="1"/>
  <c r="N4" i="3" s="1"/>
  <c r="N5" i="3" s="1"/>
  <c r="N8" i="3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<sst xmlns="http://schemas.openxmlformats.org/spreadsheetml/2006/main" count="658" uniqueCount="357">
  <si>
    <t>ESTADO DE COSTOS DE PRODUCCION Y VENTAS</t>
  </si>
  <si>
    <t xml:space="preserve">Inv inicial de Materiales Directos </t>
  </si>
  <si>
    <t>(+) Compras de MD</t>
  </si>
  <si>
    <t>(=) Disponible de MD</t>
  </si>
  <si>
    <t xml:space="preserve">(-) Inv final de Materiales Directos </t>
  </si>
  <si>
    <t>(=) Material directo Utilizado</t>
  </si>
  <si>
    <t>(+) MOD</t>
  </si>
  <si>
    <t xml:space="preserve">(+) CIF </t>
  </si>
  <si>
    <t xml:space="preserve">(=) Costos de producción incurridos </t>
  </si>
  <si>
    <t>(+) Inv inicial de producción en proceso</t>
  </si>
  <si>
    <t xml:space="preserve">(-) Inv final de producción en proceso </t>
  </si>
  <si>
    <t xml:space="preserve">(=) Costos de producción total </t>
  </si>
  <si>
    <t xml:space="preserve">(+) Inv inicial de producto terminado </t>
  </si>
  <si>
    <t>(-) Inv final de producto terminado</t>
  </si>
  <si>
    <t>(=) Costo de ventas</t>
  </si>
  <si>
    <t xml:space="preserve">Estado de Resultados </t>
  </si>
  <si>
    <t xml:space="preserve">Ingreso por ventas </t>
  </si>
  <si>
    <t>(-) Costo de Ventas</t>
  </si>
  <si>
    <t>(=) Utilidad Bruta</t>
  </si>
  <si>
    <t xml:space="preserve">(-) Gastos Administrativos </t>
  </si>
  <si>
    <t>(-) Gastos de ventas</t>
  </si>
  <si>
    <t>(=) Utilidad operativa</t>
  </si>
  <si>
    <t xml:space="preserve">Estado de Resultos </t>
  </si>
  <si>
    <t>(-) Gastos de Mk distr y ser cliente</t>
  </si>
  <si>
    <t>(-) Costos de Ventas</t>
  </si>
  <si>
    <t xml:space="preserve">(=) Utiliad Bruta </t>
  </si>
  <si>
    <t xml:space="preserve">Inv. de materiales directos al 01 de enero </t>
  </si>
  <si>
    <t xml:space="preserve">Compras de materiales directos </t>
  </si>
  <si>
    <t>?</t>
  </si>
  <si>
    <t>Materiales directos disponibles</t>
  </si>
  <si>
    <t>Inv. de materiales directos al 31 de diciembre</t>
  </si>
  <si>
    <t xml:space="preserve">Materiales directos utilizados </t>
  </si>
  <si>
    <t>Mano de obra directa</t>
  </si>
  <si>
    <t xml:space="preserve">Costos indirectos de fabricacion: </t>
  </si>
  <si>
    <t>Mano de obra indirecta</t>
  </si>
  <si>
    <t xml:space="preserve">Materiales indirectos </t>
  </si>
  <si>
    <t>Depreciación maquinaria planta</t>
  </si>
  <si>
    <t>servicios generales de planta</t>
  </si>
  <si>
    <t>Mantenimiento de planta</t>
  </si>
  <si>
    <t xml:space="preserve">Costos de producción  incurridos </t>
  </si>
  <si>
    <t>Inv.de producción en proceso  01 de enero</t>
  </si>
  <si>
    <t>Inv.de producción en proceso  31 de diciembre</t>
  </si>
  <si>
    <t xml:space="preserve">Costo de produccion total </t>
  </si>
  <si>
    <t>Inv. producto terminado al 01 de enero</t>
  </si>
  <si>
    <t>Inv.producto terminado al 31 de diciembre</t>
  </si>
  <si>
    <t>Costo de ventas</t>
  </si>
  <si>
    <t xml:space="preserve">Ingresos </t>
  </si>
  <si>
    <t xml:space="preserve">Utilidad Bruta </t>
  </si>
  <si>
    <t xml:space="preserve">Si se producen 50 000 unidades cuál es el </t>
  </si>
  <si>
    <t xml:space="preserve">costo unitario de produccion </t>
  </si>
  <si>
    <t xml:space="preserve">Costo unitario de producción </t>
  </si>
  <si>
    <t xml:space="preserve">Costo total de produccion </t>
  </si>
  <si>
    <t xml:space="preserve"># de unidades </t>
  </si>
  <si>
    <t xml:space="preserve">Tres elementos del costo </t>
  </si>
  <si>
    <t xml:space="preserve">      mano de obra directa </t>
  </si>
  <si>
    <t xml:space="preserve">productos terminados </t>
  </si>
  <si>
    <t xml:space="preserve">     materia prima directa </t>
  </si>
  <si>
    <t xml:space="preserve">      costos indirectos de fabriación </t>
  </si>
  <si>
    <t xml:space="preserve">Estado de costos de producción y ventas </t>
  </si>
  <si>
    <t xml:space="preserve">Estado de resultados integral </t>
  </si>
  <si>
    <t>Estado de situación financiera</t>
  </si>
  <si>
    <t xml:space="preserve">Información formal y legal  NIIF y las NIC </t>
  </si>
  <si>
    <t xml:space="preserve">Información Administrativa </t>
  </si>
  <si>
    <t>EMPRESA xyz</t>
  </si>
  <si>
    <t xml:space="preserve">al 31 de dic _2025 </t>
  </si>
  <si>
    <t xml:space="preserve">Estado de situación financiera </t>
  </si>
  <si>
    <t xml:space="preserve">ACTIVOS </t>
  </si>
  <si>
    <t xml:space="preserve">Activos Corriente </t>
  </si>
  <si>
    <t xml:space="preserve">Efectivo y sus equivalentes </t>
  </si>
  <si>
    <t>Cuenta por Cobrar</t>
  </si>
  <si>
    <t xml:space="preserve">Inventarios </t>
  </si>
  <si>
    <t xml:space="preserve">Activo no corriente </t>
  </si>
  <si>
    <t>PP&amp;E</t>
  </si>
  <si>
    <t xml:space="preserve">TOTAL ACTIVOS </t>
  </si>
  <si>
    <t xml:space="preserve">PASIVOS </t>
  </si>
  <si>
    <t xml:space="preserve">Pasivo Corriente </t>
  </si>
  <si>
    <t xml:space="preserve">Deuda Corto plazo </t>
  </si>
  <si>
    <t xml:space="preserve">Pasivo no corriente </t>
  </si>
  <si>
    <t xml:space="preserve">Deuda largo plazo </t>
  </si>
  <si>
    <t xml:space="preserve">TOTAL PASIVO </t>
  </si>
  <si>
    <t xml:space="preserve">PATRIMONIO </t>
  </si>
  <si>
    <t xml:space="preserve">Capital </t>
  </si>
  <si>
    <t>Reservas</t>
  </si>
  <si>
    <t xml:space="preserve">Resultados Acumulados </t>
  </si>
  <si>
    <t xml:space="preserve">TOTAL PATRIMONIO </t>
  </si>
  <si>
    <t xml:space="preserve">TOTAL PASIVO + PATRIMONIO </t>
  </si>
  <si>
    <t xml:space="preserve">ACTIVO= PASIVO +  PATRIMONIO </t>
  </si>
  <si>
    <t xml:space="preserve">(=) Resultado del ejercicio </t>
  </si>
  <si>
    <t>Resultados del ejercicio</t>
  </si>
  <si>
    <t xml:space="preserve">Alimenta el estados de resultados con un valor </t>
  </si>
  <si>
    <t xml:space="preserve">Que valor ? El costo de ventas </t>
  </si>
  <si>
    <t>Inv inicial de MPD</t>
  </si>
  <si>
    <t>(+) Compras de MPD</t>
  </si>
  <si>
    <t>(-) Inv final de MPD</t>
  </si>
  <si>
    <t xml:space="preserve">(+) Mano de obra directa </t>
  </si>
  <si>
    <t xml:space="preserve">    Materia prima indirecta </t>
  </si>
  <si>
    <t xml:space="preserve">    Mano de obra indirecta </t>
  </si>
  <si>
    <t xml:space="preserve">(=) Costo de producción incurrido </t>
  </si>
  <si>
    <t xml:space="preserve">Costo de producto terminado </t>
  </si>
  <si>
    <t xml:space="preserve">ESTADO DE COSTOS DE PRODUCCION Y VENTAS </t>
  </si>
  <si>
    <t>(=) Disponible de MPD</t>
  </si>
  <si>
    <t xml:space="preserve">(=) Materia prima utilizada </t>
  </si>
  <si>
    <t xml:space="preserve">    Carga Fabril / otros CIF </t>
  </si>
  <si>
    <t>(+) Costos indirectos de fabricación  (CIF):</t>
  </si>
  <si>
    <t xml:space="preserve">(+) Valor del Inv inicial de productos en proceso </t>
  </si>
  <si>
    <t xml:space="preserve">(-) Valor del Inv final de productos en proceso </t>
  </si>
  <si>
    <t xml:space="preserve">(-) Inv final de producto terminado </t>
  </si>
  <si>
    <t xml:space="preserve">(=) Costo de bienes vendidos  / Costo de ventas </t>
  </si>
  <si>
    <t xml:space="preserve">EMPRESA XYZ </t>
  </si>
  <si>
    <t>AL 31 DE DIC DEL 2025</t>
  </si>
  <si>
    <t xml:space="preserve">     Seguros de planta </t>
  </si>
  <si>
    <t xml:space="preserve">      Depreciaciones de planta </t>
  </si>
  <si>
    <t xml:space="preserve">      Reparacioes y mantenimiento de planta </t>
  </si>
  <si>
    <t xml:space="preserve">Estado de resultados </t>
  </si>
  <si>
    <t xml:space="preserve">Utilidad bruta </t>
  </si>
  <si>
    <t xml:space="preserve">Costo de mk, distrib y serv. Al cliente </t>
  </si>
  <si>
    <t xml:space="preserve">Costo administrativo </t>
  </si>
  <si>
    <t>Utilidad operativa</t>
  </si>
  <si>
    <t xml:space="preserve">ingreso por ventas </t>
  </si>
  <si>
    <t xml:space="preserve">(-) costo de ventas </t>
  </si>
  <si>
    <t>UNIDADES EQUIVALENTES</t>
  </si>
  <si>
    <t xml:space="preserve">8 VASOS </t>
  </si>
  <si>
    <t>LLENOS A LA MITAD, ES DECIR AL 50%</t>
  </si>
  <si>
    <t>8 vasos llenos al 50% equivalen a 4 vasos llenos al 100%</t>
  </si>
  <si>
    <t xml:space="preserve">unidades que no se han terminado </t>
  </si>
  <si>
    <t xml:space="preserve">GRADO DE AVANCE </t>
  </si>
  <si>
    <t xml:space="preserve">Unidades Equivalentes terminadas </t>
  </si>
  <si>
    <t>LLENOS AL 25%</t>
  </si>
  <si>
    <t>8 vasos llenos al 25%, equivalen a 2 vasos llenos al 100%</t>
  </si>
  <si>
    <t xml:space="preserve">grado de avance </t>
  </si>
  <si>
    <t xml:space="preserve">Unidades sin terminar </t>
  </si>
  <si>
    <t xml:space="preserve">Grado de Avance </t>
  </si>
  <si>
    <t xml:space="preserve">Unidades terminadas </t>
  </si>
  <si>
    <t xml:space="preserve">Grado de avance </t>
  </si>
  <si>
    <t xml:space="preserve">Motos terminadas </t>
  </si>
  <si>
    <t>Motos sin terminar</t>
  </si>
  <si>
    <t>producc equiv</t>
  </si>
  <si>
    <t xml:space="preserve">En el inventario de producción en proceso se tienen 40 000  unidades,  cuyo porcentaje de terminación es como sigue </t>
  </si>
  <si>
    <t>Porcentaje unidades</t>
  </si>
  <si>
    <t xml:space="preserve">Unidades </t>
  </si>
  <si>
    <t>%</t>
  </si>
  <si>
    <t>Equivalentes</t>
  </si>
  <si>
    <t xml:space="preserve">TRES ELEMENTOS DEL COSTO </t>
  </si>
  <si>
    <t>MATERIA PRIMA DIRECTA  (MPD)</t>
  </si>
  <si>
    <t>MANO DE OBRA DIRECTA (MOD)</t>
  </si>
  <si>
    <t>COSTOS INDIRECTOS DE FABRICACION (CIF)</t>
  </si>
  <si>
    <t>DEBE</t>
  </si>
  <si>
    <t>HABER</t>
  </si>
  <si>
    <t xml:space="preserve">Inventario de MPD </t>
  </si>
  <si>
    <t>iva en compras</t>
  </si>
  <si>
    <t xml:space="preserve">Fecha </t>
  </si>
  <si>
    <t xml:space="preserve">Detalle </t>
  </si>
  <si>
    <t># unidades</t>
  </si>
  <si>
    <t xml:space="preserve">V unit </t>
  </si>
  <si>
    <t xml:space="preserve">C total </t>
  </si>
  <si>
    <t xml:space="preserve">Entradas </t>
  </si>
  <si>
    <t xml:space="preserve">Salidas </t>
  </si>
  <si>
    <t xml:space="preserve">Inv disponible </t>
  </si>
  <si>
    <t>17_MAYO</t>
  </si>
  <si>
    <t>COMPRA</t>
  </si>
  <si>
    <t xml:space="preserve">17/5/2026 Se adquiere MPI , 300 unidades a USD 3 cada una </t>
  </si>
  <si>
    <t xml:space="preserve">LIBRO DIARIO </t>
  </si>
  <si>
    <t xml:space="preserve">Inventario de MPI </t>
  </si>
  <si>
    <t xml:space="preserve">Proveedores </t>
  </si>
  <si>
    <t>Proveedores</t>
  </si>
  <si>
    <t>KARDEX_METODO PROMEDIO _MPD</t>
  </si>
  <si>
    <t>KARDEX_METODO PROMEDIO _MPI</t>
  </si>
  <si>
    <t xml:space="preserve">CIF : Flete </t>
  </si>
  <si>
    <t xml:space="preserve">Retención 2% por pagar </t>
  </si>
  <si>
    <t xml:space="preserve">Retención 1% por pagar </t>
  </si>
  <si>
    <t>17_may</t>
  </si>
  <si>
    <t>20_may , se utilzan 150 unidades de MPD y 100 de MPI</t>
  </si>
  <si>
    <t>CIF: MPI</t>
  </si>
  <si>
    <t>Inventario de Proceso orden 20</t>
  </si>
  <si>
    <t xml:space="preserve">Total </t>
  </si>
  <si>
    <t xml:space="preserve">Anual </t>
  </si>
  <si>
    <t>14t0</t>
  </si>
  <si>
    <t>Provisiones</t>
  </si>
  <si>
    <t xml:space="preserve">Tasa de MOD  = </t>
  </si>
  <si>
    <t xml:space="preserve">No de orden </t>
  </si>
  <si>
    <t xml:space="preserve">Horas trabajadas </t>
  </si>
  <si>
    <t xml:space="preserve">TASA MOD </t>
  </si>
  <si>
    <t xml:space="preserve">Total costos de MOD </t>
  </si>
  <si>
    <t>Orden 310</t>
  </si>
  <si>
    <t>Orden 410</t>
  </si>
  <si>
    <t>Orden 510</t>
  </si>
  <si>
    <t>Orden 610</t>
  </si>
  <si>
    <t>Orden 710</t>
  </si>
  <si>
    <t>Orden 810</t>
  </si>
  <si>
    <t xml:space="preserve">TOTAL </t>
  </si>
  <si>
    <t xml:space="preserve"># unidades </t>
  </si>
  <si>
    <t xml:space="preserve">C unitario </t>
  </si>
  <si>
    <t xml:space="preserve">costos </t>
  </si>
  <si>
    <t>MPD</t>
  </si>
  <si>
    <t>MOD</t>
  </si>
  <si>
    <t xml:space="preserve">CIF </t>
  </si>
  <si>
    <t xml:space="preserve">total </t>
  </si>
  <si>
    <t xml:space="preserve">unidades </t>
  </si>
  <si>
    <t xml:space="preserve">y todas se teminaron </t>
  </si>
  <si>
    <t>C unitario =</t>
  </si>
  <si>
    <t>unidades</t>
  </si>
  <si>
    <t>unidades terminadas</t>
  </si>
  <si>
    <t xml:space="preserve">No se terminaron, es decir están en proceso </t>
  </si>
  <si>
    <t xml:space="preserve">Grado avance </t>
  </si>
  <si>
    <t>Unidades Eq</t>
  </si>
  <si>
    <t>Producc equiv.</t>
  </si>
  <si>
    <t xml:space="preserve">en proceso </t>
  </si>
  <si>
    <t xml:space="preserve">C unitario produccion </t>
  </si>
  <si>
    <t xml:space="preserve">unidades del inv inicial de PP </t>
  </si>
  <si>
    <t xml:space="preserve">Unidades del Inv final de PP </t>
  </si>
  <si>
    <t xml:space="preserve">G avance </t>
  </si>
  <si>
    <t xml:space="preserve">U equivalentes </t>
  </si>
  <si>
    <t xml:space="preserve">SISTEMA DE COSTEO </t>
  </si>
  <si>
    <t xml:space="preserve">Sistemas de costeo por ordenes : unidades exclusivas </t>
  </si>
  <si>
    <t xml:space="preserve">Sistemas de costeo   procesos : unidades identicas </t>
  </si>
  <si>
    <t xml:space="preserve">Transacciones </t>
  </si>
  <si>
    <t>17/5/2026 Compra 100 MPD unidades a USD5 c/u</t>
  </si>
  <si>
    <t xml:space="preserve">18_MAY Se adquiere MPD por 150 unidades a USD 6 cada una y se paga Flete, que se considera CIF por el valor de USD 70 </t>
  </si>
  <si>
    <t>18_may</t>
  </si>
  <si>
    <t xml:space="preserve">COMPRA </t>
  </si>
  <si>
    <t xml:space="preserve">Para la orden de producción No. 20 </t>
  </si>
  <si>
    <t>Inventario es un activo que crece por el DEBE</t>
  </si>
  <si>
    <t>y decrece por el HABER</t>
  </si>
  <si>
    <t xml:space="preserve">METODO PEPS </t>
  </si>
  <si>
    <t>KARDEX_METODO PEPS _MPD</t>
  </si>
  <si>
    <t>KARDEX_METODO peps  _MPI</t>
  </si>
  <si>
    <t xml:space="preserve">MANO DE OBRA DIRECTA </t>
  </si>
  <si>
    <t xml:space="preserve">REMUNERACION DE OBREROS </t>
  </si>
  <si>
    <t xml:space="preserve">INGRESOS </t>
  </si>
  <si>
    <t xml:space="preserve">SUELDO </t>
  </si>
  <si>
    <t xml:space="preserve">H EXTRAS </t>
  </si>
  <si>
    <t xml:space="preserve">H SUPLEMENTARIAS </t>
  </si>
  <si>
    <t xml:space="preserve">BONOS </t>
  </si>
  <si>
    <t>SBU</t>
  </si>
  <si>
    <t xml:space="preserve">Rubros generalmente pagados por cumplimiento de objetivos </t>
  </si>
  <si>
    <t xml:space="preserve">Son las que se pagan por el trabajo de feriados y dias de descanso obligatorio , recargo es del 100% </t>
  </si>
  <si>
    <t xml:space="preserve">Son las que se pagan por e trabajao luego de la jornada normal de trabajo , recargo del 50% hasta las 24h00 y del 100% desde las 24h00 hasta las 06h00 del dia siguientes </t>
  </si>
  <si>
    <t xml:space="preserve">h normal </t>
  </si>
  <si>
    <t xml:space="preserve">sueldo </t>
  </si>
  <si>
    <t>H extra</t>
  </si>
  <si>
    <t>H normal*2</t>
  </si>
  <si>
    <t xml:space="preserve">x 2 </t>
  </si>
  <si>
    <t>H suplementarias</t>
  </si>
  <si>
    <t>H normal *1,5</t>
  </si>
  <si>
    <t>13er0</t>
  </si>
  <si>
    <t>F reserva</t>
  </si>
  <si>
    <t xml:space="preserve">vacaciones </t>
  </si>
  <si>
    <t xml:space="preserve">Aporte patronal </t>
  </si>
  <si>
    <t xml:space="preserve">Obreros: 15, sueldo mensual : USD 650, se estiman 240 horas extras al mes. Además . Supervisores (S1) y (S2), sueldos USD 780 cada uno. </t>
  </si>
  <si>
    <t xml:space="preserve">Todos los empleados acumulan los beneficios sociales </t>
  </si>
  <si>
    <t>ingresos</t>
  </si>
  <si>
    <t>obreros</t>
  </si>
  <si>
    <t>ABRIL_ 2026</t>
  </si>
  <si>
    <t xml:space="preserve">NOMINA </t>
  </si>
  <si>
    <t>H NORMAL =</t>
  </si>
  <si>
    <t>H EXTRA</t>
  </si>
  <si>
    <t xml:space="preserve">INGRESO </t>
  </si>
  <si>
    <t>GRAVABLE</t>
  </si>
  <si>
    <t>13ERO</t>
  </si>
  <si>
    <t>14T0</t>
  </si>
  <si>
    <t>fr</t>
  </si>
  <si>
    <t xml:space="preserve">APORTE </t>
  </si>
  <si>
    <t>PERSONAL</t>
  </si>
  <si>
    <t xml:space="preserve">A RECIBIR </t>
  </si>
  <si>
    <t>ROL DE PAGOS</t>
  </si>
  <si>
    <t xml:space="preserve">ROL DE PROVISIONES </t>
  </si>
  <si>
    <t>OBREROS</t>
  </si>
  <si>
    <t>13ER0</t>
  </si>
  <si>
    <t>F RESERVA</t>
  </si>
  <si>
    <t>VACACIONES</t>
  </si>
  <si>
    <t xml:space="preserve">PATRONAL </t>
  </si>
  <si>
    <t xml:space="preserve">Costo de MOD </t>
  </si>
  <si>
    <t xml:space="preserve">Sueldo y h extras </t>
  </si>
  <si>
    <t xml:space="preserve">Mensual </t>
  </si>
  <si>
    <t xml:space="preserve">ABRIL </t>
  </si>
  <si>
    <t xml:space="preserve">Tiempo improductivo </t>
  </si>
  <si>
    <t xml:space="preserve">Costo Real de MOD </t>
  </si>
  <si>
    <t xml:space="preserve">Costo Asignado MOD </t>
  </si>
  <si>
    <t>CIF</t>
  </si>
  <si>
    <t>Base de asignación</t>
  </si>
  <si>
    <t>Fórmula</t>
  </si>
  <si>
    <t>Ejemplo Cálculo</t>
  </si>
  <si>
    <t>Interpretación</t>
  </si>
  <si>
    <t>Hora de MOD</t>
  </si>
  <si>
    <t xml:space="preserve">Tasa= $ 200 000/ 4000 h </t>
  </si>
  <si>
    <t>50$/hora de MOD</t>
  </si>
  <si>
    <t>Hora maq.</t>
  </si>
  <si>
    <t>Tasa= $ 200 000/ 10000 h</t>
  </si>
  <si>
    <t>20$/hora maq.</t>
  </si>
  <si>
    <t>Costos MOD</t>
  </si>
  <si>
    <t>Tasa= $ 200 000/ $300 000</t>
  </si>
  <si>
    <t>CIF es el 66% del costo de MOD</t>
  </si>
  <si>
    <t>Costos MPD</t>
  </si>
  <si>
    <t>Tasa= $ 200 000/ $250 000</t>
  </si>
  <si>
    <t>CIF es el 80% del costo de MPD</t>
  </si>
  <si>
    <t>COSTOS INDIRECTOS DE FABRICACION</t>
  </si>
  <si>
    <t xml:space="preserve">Diferencia </t>
  </si>
  <si>
    <t xml:space="preserve">MATERIA PRIMA INDIRECTA </t>
  </si>
  <si>
    <t xml:space="preserve">MANO DE OBRA INDIRECTA </t>
  </si>
  <si>
    <t xml:space="preserve">CARGA FABRIL /OTROS COSTOS INDIRECTOS DE FABRICACION </t>
  </si>
  <si>
    <t xml:space="preserve">PRESUPUESTO </t>
  </si>
  <si>
    <t xml:space="preserve">H MAQUINA </t>
  </si>
  <si>
    <t xml:space="preserve">UNIDADES </t>
  </si>
  <si>
    <t xml:space="preserve">Tasa MOD </t>
  </si>
  <si>
    <t xml:space="preserve">H MOD </t>
  </si>
  <si>
    <t>$/ HMOD</t>
  </si>
  <si>
    <t xml:space="preserve">CIF PRESUPUESTADOS </t>
  </si>
  <si>
    <t xml:space="preserve">BASE DE ASIGNACION </t>
  </si>
  <si>
    <t>TASA ASIG CIF=</t>
  </si>
  <si>
    <t>Costos de MPD</t>
  </si>
  <si>
    <t xml:space="preserve">Costos de MOD </t>
  </si>
  <si>
    <t xml:space="preserve">Horas de MOD </t>
  </si>
  <si>
    <t>Horas Maq</t>
  </si>
  <si>
    <t>Orden 290</t>
  </si>
  <si>
    <t xml:space="preserve">Articulos </t>
  </si>
  <si>
    <t xml:space="preserve">MPD </t>
  </si>
  <si>
    <t>CIF PRES</t>
  </si>
  <si>
    <t>COSTOS MPD</t>
  </si>
  <si>
    <t xml:space="preserve">c UNITARIO </t>
  </si>
  <si>
    <t>HORA MOD</t>
  </si>
  <si>
    <t>$/HORA MOD</t>
  </si>
  <si>
    <t xml:space="preserve">HOJA DE COSTOS </t>
  </si>
  <si>
    <t xml:space="preserve">EMPRESA </t>
  </si>
  <si>
    <t>XYZ</t>
  </si>
  <si>
    <t>Fecha</t>
  </si>
  <si>
    <t>Cantidad</t>
  </si>
  <si>
    <t>Costo unitario</t>
  </si>
  <si>
    <t>Costo total</t>
  </si>
  <si>
    <t xml:space="preserve">detalle </t>
  </si>
  <si>
    <t>cantidad</t>
  </si>
  <si>
    <t>Costo hora</t>
  </si>
  <si>
    <t>RESUMEN</t>
  </si>
  <si>
    <t xml:space="preserve">Costo Total </t>
  </si>
  <si>
    <t xml:space="preserve">MATERIA PRIMA DIRECTA </t>
  </si>
  <si>
    <t xml:space="preserve">COSTO TOTAL DE PRODUCCION </t>
  </si>
  <si>
    <t xml:space="preserve">UNIDADES PRODUCIDAS </t>
  </si>
  <si>
    <t>COSTO UNITARIO</t>
  </si>
  <si>
    <t>N0. 0rden</t>
  </si>
  <si>
    <t>…....</t>
  </si>
  <si>
    <t>TOTAL</t>
  </si>
  <si>
    <t xml:space="preserve">CIF APLICADO = TASA DE ASIG PRES. * BASE DE ASIGNACION REAL </t>
  </si>
  <si>
    <t xml:space="preserve">REAL </t>
  </si>
  <si>
    <t xml:space="preserve">CIF APLICADO =  </t>
  </si>
  <si>
    <t>* 890 000</t>
  </si>
  <si>
    <t>Costo oportuno</t>
  </si>
  <si>
    <t xml:space="preserve">comparo </t>
  </si>
  <si>
    <t xml:space="preserve">CIF REAL </t>
  </si>
  <si>
    <t xml:space="preserve">Sobre aplicación </t>
  </si>
  <si>
    <t xml:space="preserve">Subaplicación </t>
  </si>
  <si>
    <t>Cuando los CIF aplicados son menores que los CIF reales  (Variación desfavorble)</t>
  </si>
  <si>
    <t>Cuando los CIF aplicados son mayores que los CIF reales  (variación favorable)</t>
  </si>
  <si>
    <t>ORDEN DE PRODUCCIÓN NO. 290</t>
  </si>
  <si>
    <t xml:space="preserve">01_ abril </t>
  </si>
  <si>
    <t>02_abril</t>
  </si>
  <si>
    <t xml:space="preserve">carga fabril </t>
  </si>
  <si>
    <t>Tasa</t>
  </si>
  <si>
    <t xml:space="preserve">Base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</si>
</sst>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$&quot;#,##0.00;[Red]&quot;$&quot;\-#,##0.00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 &quot;$&quot;* #,##0.0_ ;_ &quot;$&quot;* \-#,##0.0_ ;_ &quot;$&quot;* &quot;-&quot;??_ ;_ @_ "/>
    <numFmt numFmtId="165" formatCode="_ &quot;$&quot;* #,##0_ ;_ &quot;$&quot;* \-#,##0_ ;_ &quot;$&quot;* &quot;-&quot;??_ ;_ @_ "/>
    <numFmt numFmtId="166" formatCode="_(* #,##0_);_(* \(#,##0\);_(* &quot;-&quot;??_);_(@_)"/>
    <numFmt numFmtId="167" formatCode="_ * #,##0_ ;_ * \-#,##0_ ;_ * &quot;-&quot;??_ ;_ @_ 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rgb="FF000000"/>
      <name val="Cambria"/>
      <family val="1"/>
    </font>
    <font>
      <sz val="11"/>
      <color rgb="FFFF0000"/>
      <name val="Calibri"/>
      <family val="2"/>
      <scheme val="minor"/>
    </font>
    <font>
      <sz val="11"/>
      <color rgb="FF000000"/>
      <name val="Aptos Narrow"/>
      <family val="2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4"/>
      <name val="Calibri"/>
      <family val="2"/>
      <scheme val="minor"/>
    </font>
    <font>
      <b/>
      <sz val="22"/>
      <color theme="2"/>
      <name val="Calibri"/>
      <family val="2"/>
      <scheme val="minor"/>
    </font>
    <font>
      <sz val="11"/>
      <color theme="2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0000"/>
      <name val="Cambria"/>
      <family val="1"/>
    </font>
    <font>
      <sz val="8"/>
      <color theme="1"/>
      <name val="Cambria"/>
      <family val="1"/>
    </font>
    <font>
      <b/>
      <sz val="20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b/>
      <sz val="11"/>
      <color theme="5"/>
      <name val="Calibri"/>
      <family val="2"/>
      <scheme val="minor"/>
    </font>
    <font>
      <b/>
      <i/>
      <sz val="11"/>
      <color theme="5"/>
      <name val="Calibri"/>
      <family val="2"/>
      <scheme val="minor"/>
    </font>
    <font>
      <b/>
      <i/>
      <sz val="11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6DCE4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3">
    <xf numFmtId="0" fontId="0" fillId="0" borderId="0" xfId="0"/>
    <xf numFmtId="0" fontId="2" fillId="0" borderId="0" xfId="0" applyFont="1"/>
    <xf numFmtId="0" fontId="3" fillId="0" borderId="0" xfId="0" applyFont="1"/>
    <xf numFmtId="44" fontId="0" fillId="0" borderId="0" xfId="1" applyFont="1"/>
    <xf numFmtId="165" fontId="0" fillId="0" borderId="0" xfId="1" applyNumberFormat="1" applyFont="1"/>
    <xf numFmtId="165" fontId="2" fillId="0" borderId="0" xfId="1" applyNumberFormat="1" applyFont="1"/>
    <xf numFmtId="165" fontId="0" fillId="0" borderId="0" xfId="0" applyNumberFormat="1"/>
    <xf numFmtId="165" fontId="4" fillId="0" borderId="0" xfId="1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44" fontId="0" fillId="0" borderId="0" xfId="0" applyNumberFormat="1"/>
    <xf numFmtId="164" fontId="0" fillId="0" borderId="0" xfId="1" applyNumberFormat="1" applyFont="1" applyAlignment="1">
      <alignment horizontal="center"/>
    </xf>
    <xf numFmtId="165" fontId="2" fillId="0" borderId="0" xfId="0" applyNumberFormat="1" applyFont="1"/>
    <xf numFmtId="0" fontId="5" fillId="2" borderId="1" xfId="0" applyFont="1" applyFill="1" applyBorder="1"/>
    <xf numFmtId="166" fontId="5" fillId="2" borderId="1" xfId="2" applyNumberFormat="1" applyFont="1" applyFill="1" applyBorder="1"/>
    <xf numFmtId="166" fontId="5" fillId="2" borderId="1" xfId="2" applyNumberFormat="1" applyFont="1" applyFill="1" applyBorder="1" applyAlignment="1">
      <alignment horizontal="center"/>
    </xf>
    <xf numFmtId="166" fontId="0" fillId="0" borderId="0" xfId="0" applyNumberFormat="1"/>
    <xf numFmtId="166" fontId="0" fillId="0" borderId="1" xfId="0" applyNumberFormat="1" applyBorder="1" applyAlignment="1">
      <alignment horizontal="center"/>
    </xf>
    <xf numFmtId="166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6" xfId="0" applyFont="1" applyBorder="1"/>
    <xf numFmtId="0" fontId="7" fillId="0" borderId="0" xfId="0" applyFont="1"/>
    <xf numFmtId="0" fontId="0" fillId="3" borderId="1" xfId="0" applyFill="1" applyBorder="1"/>
    <xf numFmtId="0" fontId="8" fillId="3" borderId="1" xfId="0" applyFont="1" applyFill="1" applyBorder="1"/>
    <xf numFmtId="0" fontId="2" fillId="3" borderId="1" xfId="0" applyFont="1" applyFill="1" applyBorder="1"/>
    <xf numFmtId="0" fontId="10" fillId="3" borderId="1" xfId="0" applyFont="1" applyFill="1" applyBorder="1"/>
    <xf numFmtId="0" fontId="0" fillId="3" borderId="0" xfId="0" applyFill="1"/>
    <xf numFmtId="0" fontId="2" fillId="3" borderId="0" xfId="0" applyFont="1" applyFill="1"/>
    <xf numFmtId="0" fontId="10" fillId="3" borderId="0" xfId="0" applyFont="1" applyFill="1"/>
    <xf numFmtId="0" fontId="7" fillId="3" borderId="0" xfId="0" applyFont="1" applyFill="1"/>
    <xf numFmtId="0" fontId="11" fillId="3" borderId="0" xfId="0" applyFont="1" applyFill="1"/>
    <xf numFmtId="0" fontId="12" fillId="0" borderId="0" xfId="0" applyFont="1"/>
    <xf numFmtId="44" fontId="0" fillId="0" borderId="0" xfId="1" applyFont="1" applyBorder="1"/>
    <xf numFmtId="43" fontId="0" fillId="0" borderId="0" xfId="2" applyFont="1"/>
    <xf numFmtId="167" fontId="0" fillId="0" borderId="0" xfId="2" applyNumberFormat="1" applyFont="1"/>
    <xf numFmtId="167" fontId="0" fillId="0" borderId="0" xfId="2" applyNumberFormat="1" applyFont="1" applyBorder="1"/>
    <xf numFmtId="167" fontId="7" fillId="0" borderId="0" xfId="2" applyNumberFormat="1" applyFont="1" applyBorder="1"/>
    <xf numFmtId="0" fontId="4" fillId="3" borderId="0" xfId="0" applyFont="1" applyFill="1"/>
    <xf numFmtId="167" fontId="4" fillId="0" borderId="0" xfId="2" applyNumberFormat="1" applyFont="1"/>
    <xf numFmtId="167" fontId="4" fillId="0" borderId="0" xfId="2" applyNumberFormat="1" applyFont="1" applyBorder="1"/>
    <xf numFmtId="167" fontId="13" fillId="0" borderId="0" xfId="2" applyNumberFormat="1" applyFont="1" applyBorder="1"/>
    <xf numFmtId="167" fontId="14" fillId="0" borderId="0" xfId="2" applyNumberFormat="1" applyFont="1" applyBorder="1"/>
    <xf numFmtId="167" fontId="14" fillId="0" borderId="0" xfId="0" applyNumberFormat="1" applyFont="1"/>
    <xf numFmtId="167" fontId="4" fillId="0" borderId="0" xfId="0" applyNumberFormat="1" applyFont="1"/>
    <xf numFmtId="0" fontId="2" fillId="4" borderId="0" xfId="0" applyFont="1" applyFill="1"/>
    <xf numFmtId="167" fontId="0" fillId="4" borderId="0" xfId="2" applyNumberFormat="1" applyFont="1" applyFill="1"/>
    <xf numFmtId="167" fontId="9" fillId="4" borderId="0" xfId="2" applyNumberFormat="1" applyFont="1" applyFill="1" applyBorder="1"/>
    <xf numFmtId="167" fontId="0" fillId="0" borderId="0" xfId="0" applyNumberFormat="1"/>
    <xf numFmtId="167" fontId="2" fillId="0" borderId="0" xfId="0" applyNumberFormat="1" applyFont="1"/>
    <xf numFmtId="0" fontId="7" fillId="0" borderId="0" xfId="0" applyFont="1" applyAlignment="1">
      <alignment horizontal="center"/>
    </xf>
    <xf numFmtId="0" fontId="6" fillId="3" borderId="0" xfId="0" applyFont="1" applyFill="1"/>
    <xf numFmtId="0" fontId="6" fillId="0" borderId="0" xfId="0" applyFont="1"/>
    <xf numFmtId="9" fontId="0" fillId="0" borderId="0" xfId="0" applyNumberForma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9" fontId="0" fillId="0" borderId="1" xfId="0" applyNumberFormat="1" applyBorder="1"/>
    <xf numFmtId="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5" fillId="0" borderId="0" xfId="0" applyFont="1" applyAlignment="1">
      <alignment horizontal="left" vertical="center" indent="5"/>
    </xf>
    <xf numFmtId="0" fontId="15" fillId="0" borderId="0" xfId="0" applyFont="1" applyAlignment="1">
      <alignment vertical="center" wrapText="1"/>
    </xf>
    <xf numFmtId="9" fontId="15" fillId="0" borderId="0" xfId="0" applyNumberFormat="1" applyFont="1" applyAlignment="1">
      <alignment vertical="center" wrapText="1"/>
    </xf>
    <xf numFmtId="16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43" fontId="0" fillId="0" borderId="0" xfId="0" applyNumberFormat="1"/>
    <xf numFmtId="0" fontId="17" fillId="0" borderId="11" xfId="0" applyFont="1" applyBorder="1" applyAlignment="1">
      <alignment vertical="center"/>
    </xf>
    <xf numFmtId="0" fontId="17" fillId="0" borderId="12" xfId="0" applyFont="1" applyBorder="1" applyAlignment="1">
      <alignment vertical="center" wrapText="1"/>
    </xf>
    <xf numFmtId="0" fontId="17" fillId="0" borderId="12" xfId="0" applyFont="1" applyBorder="1" applyAlignment="1">
      <alignment vertical="center"/>
    </xf>
    <xf numFmtId="0" fontId="17" fillId="0" borderId="13" xfId="0" applyFont="1" applyBorder="1" applyAlignment="1">
      <alignment horizontal="right" vertical="center"/>
    </xf>
    <xf numFmtId="0" fontId="17" fillId="0" borderId="10" xfId="0" applyFont="1" applyBorder="1" applyAlignment="1">
      <alignment horizontal="right" vertical="center"/>
    </xf>
    <xf numFmtId="0" fontId="17" fillId="0" borderId="10" xfId="0" applyFont="1" applyBorder="1" applyAlignment="1">
      <alignment vertical="center"/>
    </xf>
    <xf numFmtId="4" fontId="0" fillId="0" borderId="0" xfId="0" applyNumberFormat="1"/>
    <xf numFmtId="4" fontId="17" fillId="0" borderId="10" xfId="0" applyNumberFormat="1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0" fontId="16" fillId="0" borderId="0" xfId="0" applyFont="1"/>
    <xf numFmtId="0" fontId="4" fillId="0" borderId="0" xfId="0" applyFont="1"/>
    <xf numFmtId="0" fontId="18" fillId="0" borderId="0" xfId="0" applyFont="1"/>
    <xf numFmtId="44" fontId="0" fillId="0" borderId="9" xfId="0" applyNumberFormat="1" applyBorder="1"/>
    <xf numFmtId="9" fontId="0" fillId="0" borderId="0" xfId="2" applyNumberFormat="1" applyFont="1"/>
    <xf numFmtId="167" fontId="0" fillId="0" borderId="9" xfId="2" applyNumberFormat="1" applyFont="1" applyBorder="1"/>
    <xf numFmtId="0" fontId="8" fillId="5" borderId="1" xfId="0" applyFont="1" applyFill="1" applyBorder="1"/>
    <xf numFmtId="0" fontId="2" fillId="5" borderId="1" xfId="0" applyFont="1" applyFill="1" applyBorder="1"/>
    <xf numFmtId="0" fontId="0" fillId="5" borderId="1" xfId="0" applyFill="1" applyBorder="1"/>
    <xf numFmtId="165" fontId="0" fillId="5" borderId="0" xfId="1" applyNumberFormat="1" applyFont="1" applyFill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16" fontId="23" fillId="0" borderId="0" xfId="0" applyNumberFormat="1" applyFont="1"/>
    <xf numFmtId="0" fontId="24" fillId="0" borderId="0" xfId="0" applyFont="1"/>
    <xf numFmtId="44" fontId="16" fillId="0" borderId="0" xfId="1" applyFont="1"/>
    <xf numFmtId="0" fontId="0" fillId="0" borderId="14" xfId="0" applyBorder="1"/>
    <xf numFmtId="0" fontId="0" fillId="0" borderId="15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44" fontId="0" fillId="0" borderId="20" xfId="1" applyFont="1" applyBorder="1"/>
    <xf numFmtId="165" fontId="0" fillId="0" borderId="20" xfId="1" applyNumberFormat="1" applyFont="1" applyBorder="1"/>
    <xf numFmtId="165" fontId="0" fillId="0" borderId="20" xfId="0" applyNumberFormat="1" applyBorder="1"/>
    <xf numFmtId="0" fontId="26" fillId="0" borderId="19" xfId="0" applyFont="1" applyBorder="1"/>
    <xf numFmtId="0" fontId="16" fillId="0" borderId="1" xfId="0" applyFont="1" applyBorder="1"/>
    <xf numFmtId="0" fontId="7" fillId="0" borderId="1" xfId="0" applyFont="1" applyBorder="1"/>
    <xf numFmtId="44" fontId="0" fillId="0" borderId="20" xfId="0" applyNumberFormat="1" applyBorder="1"/>
    <xf numFmtId="44" fontId="9" fillId="0" borderId="20" xfId="1" applyFont="1" applyBorder="1"/>
    <xf numFmtId="44" fontId="0" fillId="0" borderId="1" xfId="1" applyFont="1" applyBorder="1"/>
    <xf numFmtId="44" fontId="0" fillId="0" borderId="1" xfId="0" applyNumberFormat="1" applyBorder="1"/>
    <xf numFmtId="0" fontId="27" fillId="0" borderId="0" xfId="0" applyFont="1"/>
    <xf numFmtId="0" fontId="25" fillId="0" borderId="0" xfId="0" applyFont="1"/>
    <xf numFmtId="0" fontId="2" fillId="0" borderId="1" xfId="0" applyFont="1" applyBorder="1"/>
    <xf numFmtId="44" fontId="16" fillId="0" borderId="1" xfId="1" applyFont="1" applyBorder="1"/>
    <xf numFmtId="0" fontId="24" fillId="0" borderId="1" xfId="0" applyFont="1" applyBorder="1"/>
    <xf numFmtId="0" fontId="27" fillId="0" borderId="1" xfId="0" applyFont="1" applyBorder="1"/>
    <xf numFmtId="0" fontId="0" fillId="0" borderId="24" xfId="0" applyBorder="1"/>
    <xf numFmtId="0" fontId="1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10" fontId="0" fillId="0" borderId="0" xfId="0" applyNumberFormat="1"/>
    <xf numFmtId="165" fontId="0" fillId="0" borderId="1" xfId="0" applyNumberFormat="1" applyBorder="1"/>
    <xf numFmtId="43" fontId="0" fillId="0" borderId="1" xfId="2" applyFont="1" applyBorder="1"/>
    <xf numFmtId="43" fontId="0" fillId="0" borderId="1" xfId="0" applyNumberFormat="1" applyBorder="1"/>
    <xf numFmtId="167" fontId="0" fillId="0" borderId="24" xfId="2" applyNumberFormat="1" applyFont="1" applyBorder="1"/>
    <xf numFmtId="0" fontId="15" fillId="0" borderId="6" xfId="0" applyFont="1" applyBorder="1" applyAlignment="1">
      <alignment horizontal="left" vertical="center" indent="5"/>
    </xf>
    <xf numFmtId="43" fontId="0" fillId="0" borderId="7" xfId="2" applyFont="1" applyBorder="1"/>
    <xf numFmtId="165" fontId="0" fillId="0" borderId="0" xfId="1" applyNumberFormat="1" applyFont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1" applyNumberFormat="1" applyFont="1"/>
    <xf numFmtId="165" fontId="0" fillId="0" borderId="2" xfId="0" applyNumberFormat="1" applyBorder="1"/>
    <xf numFmtId="0" fontId="29" fillId="0" borderId="11" xfId="0" applyFont="1" applyBorder="1" applyAlignment="1">
      <alignment vertical="center" wrapText="1"/>
    </xf>
    <xf numFmtId="0" fontId="29" fillId="0" borderId="12" xfId="0" applyFont="1" applyBorder="1" applyAlignment="1">
      <alignment vertical="center" wrapText="1"/>
    </xf>
    <xf numFmtId="0" fontId="29" fillId="0" borderId="26" xfId="0" applyFont="1" applyBorder="1" applyAlignment="1">
      <alignment vertical="center" wrapText="1"/>
    </xf>
    <xf numFmtId="0" fontId="29" fillId="0" borderId="13" xfId="0" applyFont="1" applyBorder="1" applyAlignment="1">
      <alignment vertical="center" wrapText="1"/>
    </xf>
    <xf numFmtId="0" fontId="29" fillId="0" borderId="0" xfId="0" applyFont="1" applyFill="1" applyBorder="1" applyAlignment="1">
      <alignment vertical="center" wrapText="1"/>
    </xf>
    <xf numFmtId="9" fontId="0" fillId="0" borderId="0" xfId="3" applyFont="1" applyAlignment="1">
      <alignment horizontal="left"/>
    </xf>
    <xf numFmtId="43" fontId="0" fillId="0" borderId="0" xfId="2" applyFont="1" applyAlignment="1">
      <alignment horizontal="left"/>
    </xf>
    <xf numFmtId="0" fontId="0" fillId="0" borderId="0" xfId="0" applyFill="1" applyBorder="1"/>
    <xf numFmtId="0" fontId="30" fillId="0" borderId="0" xfId="0" applyFont="1"/>
    <xf numFmtId="0" fontId="31" fillId="6" borderId="3" xfId="0" applyFont="1" applyFill="1" applyBorder="1" applyAlignment="1">
      <alignment vertical="center"/>
    </xf>
    <xf numFmtId="0" fontId="32" fillId="6" borderId="4" xfId="0" applyFont="1" applyFill="1" applyBorder="1" applyAlignment="1">
      <alignment vertical="center"/>
    </xf>
    <xf numFmtId="0" fontId="32" fillId="6" borderId="5" xfId="0" applyFont="1" applyFill="1" applyBorder="1" applyAlignment="1">
      <alignment vertical="center"/>
    </xf>
    <xf numFmtId="0" fontId="32" fillId="6" borderId="0" xfId="0" applyFont="1" applyFill="1" applyAlignment="1">
      <alignment vertical="center"/>
    </xf>
    <xf numFmtId="0" fontId="32" fillId="6" borderId="7" xfId="0" applyFont="1" applyFill="1" applyBorder="1" applyAlignment="1">
      <alignment vertical="center"/>
    </xf>
    <xf numFmtId="0" fontId="32" fillId="6" borderId="8" xfId="0" applyFont="1" applyFill="1" applyBorder="1" applyAlignment="1">
      <alignment vertical="center"/>
    </xf>
    <xf numFmtId="0" fontId="32" fillId="6" borderId="13" xfId="0" applyFont="1" applyFill="1" applyBorder="1" applyAlignment="1">
      <alignment vertical="center"/>
    </xf>
    <xf numFmtId="0" fontId="32" fillId="6" borderId="10" xfId="0" applyFont="1" applyFill="1" applyBorder="1" applyAlignment="1">
      <alignment vertical="center"/>
    </xf>
    <xf numFmtId="0" fontId="32" fillId="6" borderId="9" xfId="0" applyFont="1" applyFill="1" applyBorder="1" applyAlignment="1">
      <alignment vertical="center"/>
    </xf>
    <xf numFmtId="0" fontId="32" fillId="6" borderId="6" xfId="0" applyFont="1" applyFill="1" applyBorder="1" applyAlignment="1">
      <alignment vertical="center"/>
    </xf>
    <xf numFmtId="0" fontId="32" fillId="6" borderId="6" xfId="0" applyFont="1" applyFill="1" applyBorder="1" applyAlignment="1">
      <alignment horizontal="right" vertical="center"/>
    </xf>
    <xf numFmtId="8" fontId="32" fillId="6" borderId="25" xfId="0" applyNumberFormat="1" applyFont="1" applyFill="1" applyBorder="1" applyAlignment="1">
      <alignment vertical="center"/>
    </xf>
    <xf numFmtId="8" fontId="32" fillId="6" borderId="0" xfId="0" applyNumberFormat="1" applyFont="1" applyFill="1" applyAlignment="1">
      <alignment vertical="center"/>
    </xf>
    <xf numFmtId="0" fontId="32" fillId="6" borderId="25" xfId="0" applyFont="1" applyFill="1" applyBorder="1" applyAlignment="1">
      <alignment horizontal="right" vertical="center"/>
    </xf>
    <xf numFmtId="8" fontId="32" fillId="6" borderId="7" xfId="0" applyNumberFormat="1" applyFont="1" applyFill="1" applyBorder="1" applyAlignment="1">
      <alignment vertical="center"/>
    </xf>
    <xf numFmtId="0" fontId="32" fillId="6" borderId="25" xfId="0" applyFont="1" applyFill="1" applyBorder="1" applyAlignment="1">
      <alignment vertical="center"/>
    </xf>
    <xf numFmtId="4" fontId="32" fillId="6" borderId="11" xfId="0" applyNumberFormat="1" applyFont="1" applyFill="1" applyBorder="1" applyAlignment="1">
      <alignment horizontal="right" vertical="center"/>
    </xf>
    <xf numFmtId="0" fontId="32" fillId="6" borderId="7" xfId="0" applyFont="1" applyFill="1" applyBorder="1" applyAlignment="1">
      <alignment horizontal="right" vertical="center"/>
    </xf>
    <xf numFmtId="4" fontId="32" fillId="6" borderId="13" xfId="0" applyNumberFormat="1" applyFont="1" applyFill="1" applyBorder="1" applyAlignment="1">
      <alignment horizontal="right" vertical="center"/>
    </xf>
    <xf numFmtId="0" fontId="32" fillId="6" borderId="13" xfId="0" applyFont="1" applyFill="1" applyBorder="1" applyAlignment="1">
      <alignment horizontal="right" vertical="center"/>
    </xf>
    <xf numFmtId="8" fontId="32" fillId="6" borderId="13" xfId="0" applyNumberFormat="1" applyFont="1" applyFill="1" applyBorder="1" applyAlignment="1">
      <alignment vertical="center"/>
    </xf>
    <xf numFmtId="0" fontId="31" fillId="6" borderId="4" xfId="0" applyFont="1" applyFill="1" applyBorder="1" applyAlignment="1">
      <alignment vertical="center"/>
    </xf>
    <xf numFmtId="0" fontId="31" fillId="6" borderId="8" xfId="0" applyFont="1" applyFill="1" applyBorder="1" applyAlignment="1">
      <alignment vertical="center"/>
    </xf>
    <xf numFmtId="0" fontId="31" fillId="6" borderId="9" xfId="0" applyFont="1" applyFill="1" applyBorder="1" applyAlignment="1">
      <alignment vertical="center"/>
    </xf>
    <xf numFmtId="0" fontId="32" fillId="6" borderId="8" xfId="0" applyFont="1" applyFill="1" applyBorder="1" applyAlignment="1">
      <alignment horizontal="center" vertical="center"/>
    </xf>
    <xf numFmtId="0" fontId="32" fillId="6" borderId="9" xfId="0" applyFont="1" applyFill="1" applyBorder="1" applyAlignment="1">
      <alignment horizontal="center" vertical="center"/>
    </xf>
    <xf numFmtId="0" fontId="32" fillId="6" borderId="27" xfId="0" applyFont="1" applyFill="1" applyBorder="1" applyAlignment="1">
      <alignment horizontal="center" vertical="center"/>
    </xf>
    <xf numFmtId="0" fontId="32" fillId="6" borderId="29" xfId="0" applyFont="1" applyFill="1" applyBorder="1" applyAlignment="1">
      <alignment horizontal="center" vertical="center" wrapText="1"/>
    </xf>
    <xf numFmtId="0" fontId="32" fillId="6" borderId="30" xfId="0" applyFont="1" applyFill="1" applyBorder="1" applyAlignment="1">
      <alignment horizontal="center" vertical="center" wrapText="1"/>
    </xf>
    <xf numFmtId="0" fontId="32" fillId="6" borderId="28" xfId="0" applyFont="1" applyFill="1" applyBorder="1" applyAlignment="1">
      <alignment horizontal="center" vertical="center" wrapText="1"/>
    </xf>
    <xf numFmtId="0" fontId="32" fillId="6" borderId="31" xfId="0" applyFont="1" applyFill="1" applyBorder="1" applyAlignment="1">
      <alignment horizontal="center" vertical="center"/>
    </xf>
    <xf numFmtId="0" fontId="32" fillId="6" borderId="29" xfId="0" applyFont="1" applyFill="1" applyBorder="1" applyAlignment="1">
      <alignment horizontal="center" vertical="center"/>
    </xf>
    <xf numFmtId="0" fontId="32" fillId="6" borderId="28" xfId="0" applyFont="1" applyFill="1" applyBorder="1" applyAlignment="1">
      <alignment horizontal="center" vertical="center"/>
    </xf>
    <xf numFmtId="0" fontId="32" fillId="6" borderId="6" xfId="0" applyFont="1" applyFill="1" applyBorder="1" applyAlignment="1">
      <alignment vertical="center"/>
    </xf>
    <xf numFmtId="0" fontId="32" fillId="6" borderId="0" xfId="0" applyFont="1" applyFill="1" applyBorder="1" applyAlignment="1">
      <alignment vertical="center"/>
    </xf>
    <xf numFmtId="0" fontId="32" fillId="6" borderId="7" xfId="0" applyFont="1" applyFill="1" applyBorder="1" applyAlignment="1">
      <alignment vertical="center"/>
    </xf>
    <xf numFmtId="0" fontId="31" fillId="6" borderId="6" xfId="0" applyFont="1" applyFill="1" applyBorder="1" applyAlignment="1">
      <alignment vertical="center"/>
    </xf>
    <xf numFmtId="0" fontId="31" fillId="6" borderId="0" xfId="0" applyFont="1" applyFill="1" applyBorder="1" applyAlignment="1">
      <alignment vertical="center"/>
    </xf>
    <xf numFmtId="0" fontId="31" fillId="6" borderId="7" xfId="0" applyFont="1" applyFill="1" applyBorder="1" applyAlignment="1">
      <alignment vertical="center"/>
    </xf>
    <xf numFmtId="0" fontId="0" fillId="5" borderId="0" xfId="0" applyFill="1"/>
    <xf numFmtId="164" fontId="0" fillId="0" borderId="0" xfId="0" applyNumberFormat="1"/>
    <xf numFmtId="164" fontId="0" fillId="5" borderId="0" xfId="0" applyNumberFormat="1" applyFill="1"/>
    <xf numFmtId="164" fontId="0" fillId="5" borderId="0" xfId="1" applyNumberFormat="1" applyFont="1" applyFill="1"/>
    <xf numFmtId="0" fontId="0" fillId="5" borderId="0" xfId="0" applyFill="1" applyAlignment="1">
      <alignment horizontal="center"/>
    </xf>
    <xf numFmtId="165" fontId="14" fillId="0" borderId="0" xfId="1" applyNumberFormat="1" applyFont="1"/>
    <xf numFmtId="167" fontId="14" fillId="0" borderId="0" xfId="2" applyNumberFormat="1" applyFont="1"/>
    <xf numFmtId="0" fontId="14" fillId="0" borderId="0" xfId="0" applyFont="1"/>
    <xf numFmtId="165" fontId="33" fillId="0" borderId="0" xfId="1" applyNumberFormat="1" applyFont="1"/>
    <xf numFmtId="0" fontId="9" fillId="0" borderId="0" xfId="0" applyFont="1"/>
    <xf numFmtId="167" fontId="9" fillId="0" borderId="0" xfId="2" applyNumberFormat="1" applyFont="1"/>
    <xf numFmtId="0" fontId="34" fillId="0" borderId="0" xfId="0" applyFont="1"/>
    <xf numFmtId="0" fontId="35" fillId="0" borderId="0" xfId="0" applyFont="1"/>
    <xf numFmtId="44" fontId="32" fillId="6" borderId="7" xfId="1" applyFont="1" applyFill="1" applyBorder="1" applyAlignment="1">
      <alignment vertical="center"/>
    </xf>
    <xf numFmtId="44" fontId="32" fillId="6" borderId="25" xfId="1" applyFont="1" applyFill="1" applyBorder="1" applyAlignment="1">
      <alignment vertical="center"/>
    </xf>
    <xf numFmtId="9" fontId="32" fillId="6" borderId="25" xfId="0" applyNumberFormat="1" applyFont="1" applyFill="1" applyBorder="1" applyAlignment="1">
      <alignment horizontal="right" vertical="center"/>
    </xf>
  </cellXfs>
  <cellStyles count="4">
    <cellStyle name="Millares" xfId="2" builtinId="3"/>
    <cellStyle name="Moneda" xfId="1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06/relationships/rdRichValueStructure" Target="richData/rdrichvaluestructure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17/06/relationships/rdRichValue" Target="richData/rdrichvalue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png"/><Relationship Id="rId1" Type="http://schemas.openxmlformats.org/officeDocument/2006/relationships/image" Target="../media/image15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489761</xdr:colOff>
      <xdr:row>0</xdr:row>
      <xdr:rowOff>0</xdr:rowOff>
    </xdr:from>
    <xdr:to>
      <xdr:col>13</xdr:col>
      <xdr:colOff>777549</xdr:colOff>
      <xdr:row>26</xdr:row>
      <xdr:rowOff>104744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D76DE5D-A681-4523-8C4F-CC6AC9A374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4265" t="21226" r="16608" b="18740"/>
        <a:stretch/>
      </xdr:blipFill>
      <xdr:spPr>
        <a:xfrm>
          <a:off x="3662169" y="0"/>
          <a:ext cx="7425707" cy="4995540"/>
        </a:xfrm>
        <a:prstGeom prst="rect">
          <a:avLst/>
        </a:prstGeom>
      </xdr:spPr>
    </xdr:pic>
    <xdr:clientData/>
  </xdr:twoCellAnchor>
  <xdr:twoCellAnchor>
    <xdr:from>
      <xdr:col>14</xdr:col>
      <xdr:colOff>515939</xdr:colOff>
      <xdr:row>7</xdr:row>
      <xdr:rowOff>47625</xdr:rowOff>
    </xdr:from>
    <xdr:to>
      <xdr:col>14</xdr:col>
      <xdr:colOff>706439</xdr:colOff>
      <xdr:row>10</xdr:row>
      <xdr:rowOff>39688</xdr:rowOff>
    </xdr:to>
    <xdr:sp macro="" textlink="">
      <xdr:nvSpPr>
        <xdr:cNvPr id="4" name="Abrir llave 3">
          <a:extLst>
            <a:ext uri="{FF2B5EF4-FFF2-40B4-BE49-F238E27FC236}">
              <a16:creationId xmlns:a16="http://schemas.microsoft.com/office/drawing/2014/main" id="{410C8D5D-C487-4057-91FD-00DDD0B9542D}"/>
            </a:ext>
          </a:extLst>
        </xdr:cNvPr>
        <xdr:cNvSpPr/>
      </xdr:nvSpPr>
      <xdr:spPr>
        <a:xfrm>
          <a:off x="7373939" y="1460500"/>
          <a:ext cx="190500" cy="563563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15</xdr:col>
      <xdr:colOff>1968501</xdr:colOff>
      <xdr:row>4</xdr:row>
      <xdr:rowOff>95250</xdr:rowOff>
    </xdr:from>
    <xdr:to>
      <xdr:col>17</xdr:col>
      <xdr:colOff>0</xdr:colOff>
      <xdr:row>16</xdr:row>
      <xdr:rowOff>103189</xdr:rowOff>
    </xdr:to>
    <xdr:cxnSp macro="">
      <xdr:nvCxnSpPr>
        <xdr:cNvPr id="6" name="Conector recto de flecha 5">
          <a:extLst>
            <a:ext uri="{FF2B5EF4-FFF2-40B4-BE49-F238E27FC236}">
              <a16:creationId xmlns:a16="http://schemas.microsoft.com/office/drawing/2014/main" id="{1BB4498B-CD9F-47D2-BB30-FAD511CEEBDE}"/>
            </a:ext>
          </a:extLst>
        </xdr:cNvPr>
        <xdr:cNvCxnSpPr/>
      </xdr:nvCxnSpPr>
      <xdr:spPr>
        <a:xfrm flipV="1">
          <a:off x="9588501" y="904875"/>
          <a:ext cx="1650999" cy="2293939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17417</xdr:rowOff>
    </xdr:from>
    <xdr:to>
      <xdr:col>5</xdr:col>
      <xdr:colOff>549728</xdr:colOff>
      <xdr:row>14</xdr:row>
      <xdr:rowOff>72481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42413B-48BC-25DF-552C-3FABD0347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7417"/>
          <a:ext cx="4751613" cy="26676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29634</xdr:colOff>
      <xdr:row>1</xdr:row>
      <xdr:rowOff>185420</xdr:rowOff>
    </xdr:from>
    <xdr:to>
      <xdr:col>9</xdr:col>
      <xdr:colOff>753746</xdr:colOff>
      <xdr:row>20</xdr:row>
      <xdr:rowOff>143251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476C38-2483-2342-0F3E-AC3E3BA61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71267" y="549487"/>
          <a:ext cx="2307378" cy="4119197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28</xdr:row>
      <xdr:rowOff>68580</xdr:rowOff>
    </xdr:from>
    <xdr:to>
      <xdr:col>5</xdr:col>
      <xdr:colOff>219287</xdr:colOff>
      <xdr:row>44</xdr:row>
      <xdr:rowOff>81527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2B6CB0D-CE60-D961-989D-7DB1F75ED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" y="4823460"/>
          <a:ext cx="5875020" cy="306475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41</xdr:row>
      <xdr:rowOff>0</xdr:rowOff>
    </xdr:from>
    <xdr:to>
      <xdr:col>4</xdr:col>
      <xdr:colOff>731520</xdr:colOff>
      <xdr:row>42</xdr:row>
      <xdr:rowOff>83820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5D98D66-564E-EB02-1101-E3943E081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4191000"/>
          <a:ext cx="152400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7</xdr:row>
      <xdr:rowOff>59267</xdr:rowOff>
    </xdr:from>
    <xdr:to>
      <xdr:col>11</xdr:col>
      <xdr:colOff>38100</xdr:colOff>
      <xdr:row>9</xdr:row>
      <xdr:rowOff>50800</xdr:rowOff>
    </xdr:to>
    <xdr:cxnSp macro="">
      <xdr:nvCxnSpPr>
        <xdr:cNvPr id="3" name="Conector recto de flecha 2">
          <a:extLst>
            <a:ext uri="{FF2B5EF4-FFF2-40B4-BE49-F238E27FC236}">
              <a16:creationId xmlns:a16="http://schemas.microsoft.com/office/drawing/2014/main" id="{733E5C11-03AE-D8B6-2258-01541F264BBE}"/>
            </a:ext>
          </a:extLst>
        </xdr:cNvPr>
        <xdr:cNvCxnSpPr/>
      </xdr:nvCxnSpPr>
      <xdr:spPr>
        <a:xfrm flipV="1">
          <a:off x="7272867" y="1333500"/>
          <a:ext cx="554566" cy="355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550333</xdr:colOff>
      <xdr:row>8</xdr:row>
      <xdr:rowOff>105834</xdr:rowOff>
    </xdr:from>
    <xdr:to>
      <xdr:col>11</xdr:col>
      <xdr:colOff>8467</xdr:colOff>
      <xdr:row>9</xdr:row>
      <xdr:rowOff>122767</xdr:rowOff>
    </xdr:to>
    <xdr:cxnSp macro="">
      <xdr:nvCxnSpPr>
        <xdr:cNvPr id="4" name="Conector recto de flecha 3">
          <a:extLst>
            <a:ext uri="{FF2B5EF4-FFF2-40B4-BE49-F238E27FC236}">
              <a16:creationId xmlns:a16="http://schemas.microsoft.com/office/drawing/2014/main" id="{F2CFD296-5F31-425D-9114-118EF0D2F088}"/>
            </a:ext>
          </a:extLst>
        </xdr:cNvPr>
        <xdr:cNvCxnSpPr/>
      </xdr:nvCxnSpPr>
      <xdr:spPr>
        <a:xfrm flipV="1">
          <a:off x="7289800" y="1562101"/>
          <a:ext cx="508000" cy="19896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567266</xdr:colOff>
      <xdr:row>9</xdr:row>
      <xdr:rowOff>165100</xdr:rowOff>
    </xdr:from>
    <xdr:to>
      <xdr:col>10</xdr:col>
      <xdr:colOff>228600</xdr:colOff>
      <xdr:row>10</xdr:row>
      <xdr:rowOff>8467</xdr:rowOff>
    </xdr:to>
    <xdr:cxnSp macro="">
      <xdr:nvCxnSpPr>
        <xdr:cNvPr id="5" name="Conector recto de flecha 4">
          <a:extLst>
            <a:ext uri="{FF2B5EF4-FFF2-40B4-BE49-F238E27FC236}">
              <a16:creationId xmlns:a16="http://schemas.microsoft.com/office/drawing/2014/main" id="{FF52A465-6490-41D6-8B21-432CE51E94C6}"/>
            </a:ext>
          </a:extLst>
        </xdr:cNvPr>
        <xdr:cNvCxnSpPr/>
      </xdr:nvCxnSpPr>
      <xdr:spPr>
        <a:xfrm flipV="1">
          <a:off x="7306733" y="1803400"/>
          <a:ext cx="452967" cy="25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520700</xdr:colOff>
      <xdr:row>10</xdr:row>
      <xdr:rowOff>33867</xdr:rowOff>
    </xdr:from>
    <xdr:to>
      <xdr:col>11</xdr:col>
      <xdr:colOff>12700</xdr:colOff>
      <xdr:row>10</xdr:row>
      <xdr:rowOff>160867</xdr:rowOff>
    </xdr:to>
    <xdr:cxnSp macro="">
      <xdr:nvCxnSpPr>
        <xdr:cNvPr id="6" name="Conector recto de flecha 5">
          <a:extLst>
            <a:ext uri="{FF2B5EF4-FFF2-40B4-BE49-F238E27FC236}">
              <a16:creationId xmlns:a16="http://schemas.microsoft.com/office/drawing/2014/main" id="{57849E68-C34E-4F80-9A45-08D950E5E343}"/>
            </a:ext>
          </a:extLst>
        </xdr:cNvPr>
        <xdr:cNvCxnSpPr/>
      </xdr:nvCxnSpPr>
      <xdr:spPr>
        <a:xfrm>
          <a:off x="7260167" y="1854200"/>
          <a:ext cx="541866" cy="127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512233</xdr:colOff>
      <xdr:row>10</xdr:row>
      <xdr:rowOff>16934</xdr:rowOff>
    </xdr:from>
    <xdr:to>
      <xdr:col>10</xdr:col>
      <xdr:colOff>228600</xdr:colOff>
      <xdr:row>11</xdr:row>
      <xdr:rowOff>135466</xdr:rowOff>
    </xdr:to>
    <xdr:cxnSp macro="">
      <xdr:nvCxnSpPr>
        <xdr:cNvPr id="11" name="Conector recto de flecha 10">
          <a:extLst>
            <a:ext uri="{FF2B5EF4-FFF2-40B4-BE49-F238E27FC236}">
              <a16:creationId xmlns:a16="http://schemas.microsoft.com/office/drawing/2014/main" id="{6821C703-2716-4529-BD57-0B4ADDADE405}"/>
            </a:ext>
          </a:extLst>
        </xdr:cNvPr>
        <xdr:cNvCxnSpPr/>
      </xdr:nvCxnSpPr>
      <xdr:spPr>
        <a:xfrm>
          <a:off x="7251700" y="1837267"/>
          <a:ext cx="508000" cy="30056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444500</xdr:colOff>
      <xdr:row>2</xdr:row>
      <xdr:rowOff>0</xdr:rowOff>
    </xdr:from>
    <xdr:to>
      <xdr:col>5</xdr:col>
      <xdr:colOff>0</xdr:colOff>
      <xdr:row>3</xdr:row>
      <xdr:rowOff>143933</xdr:rowOff>
    </xdr:to>
    <xdr:sp macro="" textlink="">
      <xdr:nvSpPr>
        <xdr:cNvPr id="2" name="Flecha: a la derecha 1">
          <a:extLst>
            <a:ext uri="{FF2B5EF4-FFF2-40B4-BE49-F238E27FC236}">
              <a16:creationId xmlns:a16="http://schemas.microsoft.com/office/drawing/2014/main" id="{E936B5A3-B799-08E0-F181-2553DECEF2BF}"/>
            </a:ext>
          </a:extLst>
        </xdr:cNvPr>
        <xdr:cNvSpPr/>
      </xdr:nvSpPr>
      <xdr:spPr>
        <a:xfrm>
          <a:off x="2819400" y="364067"/>
          <a:ext cx="1138767" cy="325966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10</xdr:col>
      <xdr:colOff>167640</xdr:colOff>
      <xdr:row>9</xdr:row>
      <xdr:rowOff>172720</xdr:rowOff>
    </xdr:from>
    <xdr:to>
      <xdr:col>12</xdr:col>
      <xdr:colOff>1229360</xdr:colOff>
      <xdr:row>15</xdr:row>
      <xdr:rowOff>81280</xdr:rowOff>
    </xdr:to>
    <xdr:cxnSp macro="">
      <xdr:nvCxnSpPr>
        <xdr:cNvPr id="4" name="Conector recto de flecha 3">
          <a:extLst>
            <a:ext uri="{FF2B5EF4-FFF2-40B4-BE49-F238E27FC236}">
              <a16:creationId xmlns:a16="http://schemas.microsoft.com/office/drawing/2014/main" id="{098778F4-8C5F-48BA-6DA6-2741BA382524}"/>
            </a:ext>
          </a:extLst>
        </xdr:cNvPr>
        <xdr:cNvCxnSpPr/>
      </xdr:nvCxnSpPr>
      <xdr:spPr>
        <a:xfrm>
          <a:off x="8092440" y="1838960"/>
          <a:ext cx="2082800" cy="100584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506185</xdr:colOff>
      <xdr:row>5</xdr:row>
      <xdr:rowOff>114300</xdr:rowOff>
    </xdr:from>
    <xdr:to>
      <xdr:col>8</xdr:col>
      <xdr:colOff>255814</xdr:colOff>
      <xdr:row>29</xdr:row>
      <xdr:rowOff>87086</xdr:rowOff>
    </xdr:to>
    <xdr:cxnSp macro="">
      <xdr:nvCxnSpPr>
        <xdr:cNvPr id="6" name="Conector recto de flecha 5">
          <a:extLst>
            <a:ext uri="{FF2B5EF4-FFF2-40B4-BE49-F238E27FC236}">
              <a16:creationId xmlns:a16="http://schemas.microsoft.com/office/drawing/2014/main" id="{170F6867-F844-8C0D-7E83-4126EDB8EBA4}"/>
            </a:ext>
          </a:extLst>
        </xdr:cNvPr>
        <xdr:cNvCxnSpPr/>
      </xdr:nvCxnSpPr>
      <xdr:spPr>
        <a:xfrm flipV="1">
          <a:off x="3684814" y="1045029"/>
          <a:ext cx="2928257" cy="4441371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441089</xdr:colOff>
      <xdr:row>21</xdr:row>
      <xdr:rowOff>1979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6108399-4BA0-4F9B-809E-A13A407C5C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5510" t="23961" r="18291" b="28767"/>
        <a:stretch/>
      </xdr:blipFill>
      <xdr:spPr>
        <a:xfrm>
          <a:off x="0" y="0"/>
          <a:ext cx="6780929" cy="3941519"/>
        </a:xfrm>
        <a:prstGeom prst="rect">
          <a:avLst/>
        </a:prstGeom>
      </xdr:spPr>
    </xdr:pic>
    <xdr:clientData/>
  </xdr:twoCellAnchor>
  <xdr:twoCellAnchor>
    <xdr:from>
      <xdr:col>12</xdr:col>
      <xdr:colOff>7620</xdr:colOff>
      <xdr:row>7</xdr:row>
      <xdr:rowOff>152400</xdr:rowOff>
    </xdr:from>
    <xdr:to>
      <xdr:col>12</xdr:col>
      <xdr:colOff>129540</xdr:colOff>
      <xdr:row>9</xdr:row>
      <xdr:rowOff>121920</xdr:rowOff>
    </xdr:to>
    <xdr:sp macro="" textlink="">
      <xdr:nvSpPr>
        <xdr:cNvPr id="3" name="Cerrar llave 2">
          <a:extLst>
            <a:ext uri="{FF2B5EF4-FFF2-40B4-BE49-F238E27FC236}">
              <a16:creationId xmlns:a16="http://schemas.microsoft.com/office/drawing/2014/main" id="{11732FB8-03B7-6246-FD20-D0ABA4F3577A}"/>
            </a:ext>
          </a:extLst>
        </xdr:cNvPr>
        <xdr:cNvSpPr/>
      </xdr:nvSpPr>
      <xdr:spPr>
        <a:xfrm>
          <a:off x="11513820" y="1432560"/>
          <a:ext cx="121920" cy="419100"/>
        </a:xfrm>
        <a:prstGeom prst="rightBrac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678179</xdr:colOff>
      <xdr:row>0</xdr:row>
      <xdr:rowOff>0</xdr:rowOff>
    </xdr:from>
    <xdr:to>
      <xdr:col>7</xdr:col>
      <xdr:colOff>693420</xdr:colOff>
      <xdr:row>23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952742-074A-4E6D-AA05-96521B92E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8179" y="0"/>
          <a:ext cx="5562601" cy="4381500"/>
        </a:xfrm>
        <a:prstGeom prst="rect">
          <a:avLst/>
        </a:prstGeom>
      </xdr:spPr>
    </xdr:pic>
    <xdr:clientData/>
  </xdr:twoCellAnchor>
  <xdr:twoCellAnchor>
    <xdr:from>
      <xdr:col>6</xdr:col>
      <xdr:colOff>304800</xdr:colOff>
      <xdr:row>5</xdr:row>
      <xdr:rowOff>60960</xdr:rowOff>
    </xdr:from>
    <xdr:to>
      <xdr:col>7</xdr:col>
      <xdr:colOff>327660</xdr:colOff>
      <xdr:row>22</xdr:row>
      <xdr:rowOff>53340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DED2D6CD-EA9C-5ED4-61A4-58C3DB2E7923}"/>
            </a:ext>
          </a:extLst>
        </xdr:cNvPr>
        <xdr:cNvSpPr/>
      </xdr:nvSpPr>
      <xdr:spPr>
        <a:xfrm>
          <a:off x="5059680" y="975360"/>
          <a:ext cx="815340" cy="32004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742950</xdr:colOff>
      <xdr:row>19</xdr:row>
      <xdr:rowOff>23327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0A0ED11-8188-4ED9-815D-9C07BF2A4D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6242" t="31644" r="23489" b="36972"/>
        <a:stretch/>
      </xdr:blipFill>
      <xdr:spPr>
        <a:xfrm>
          <a:off x="2286000" y="0"/>
          <a:ext cx="6838950" cy="37307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296739</xdr:colOff>
      <xdr:row>0</xdr:row>
      <xdr:rowOff>53486</xdr:rowOff>
    </xdr:from>
    <xdr:to>
      <xdr:col>9</xdr:col>
      <xdr:colOff>691662</xdr:colOff>
      <xdr:row>21</xdr:row>
      <xdr:rowOff>72536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65883AD-3785-49AD-A0E2-CDD7CC6201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2245" t="32816" r="14850" b="23689"/>
        <a:stretch/>
      </xdr:blipFill>
      <xdr:spPr>
        <a:xfrm>
          <a:off x="1088047" y="53486"/>
          <a:ext cx="6725384" cy="383491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182880</xdr:colOff>
      <xdr:row>26</xdr:row>
      <xdr:rowOff>50814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A40855-5A77-9F1C-5E80-0B513CEBD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22720" cy="4805694"/>
        </a:xfrm>
        <a:prstGeom prst="rect">
          <a:avLst/>
        </a:prstGeom>
      </xdr:spPr>
    </xdr:pic>
    <xdr:clientData/>
  </xdr:twoCellAnchor>
  <xdr:twoCellAnchor>
    <xdr:from>
      <xdr:col>4</xdr:col>
      <xdr:colOff>601980</xdr:colOff>
      <xdr:row>6</xdr:row>
      <xdr:rowOff>114300</xdr:rowOff>
    </xdr:from>
    <xdr:to>
      <xdr:col>5</xdr:col>
      <xdr:colOff>579120</xdr:colOff>
      <xdr:row>25</xdr:row>
      <xdr:rowOff>175260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230FB486-E0F2-F226-C79E-7D677E57E980}"/>
            </a:ext>
          </a:extLst>
        </xdr:cNvPr>
        <xdr:cNvSpPr/>
      </xdr:nvSpPr>
      <xdr:spPr>
        <a:xfrm>
          <a:off x="3771900" y="1211580"/>
          <a:ext cx="769620" cy="353568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294044</xdr:colOff>
      <xdr:row>1</xdr:row>
      <xdr:rowOff>248322</xdr:rowOff>
    </xdr:from>
    <xdr:to>
      <xdr:col>1</xdr:col>
      <xdr:colOff>244534</xdr:colOff>
      <xdr:row>5</xdr:row>
      <xdr:rowOff>90095</xdr:rowOff>
    </xdr:to>
    <xdr:pic>
      <xdr:nvPicPr>
        <xdr:cNvPr id="2" name="Imagen 1" descr="Resultado de imagen de vaso medio lleno">
          <a:extLst>
            <a:ext uri="{FF2B5EF4-FFF2-40B4-BE49-F238E27FC236}">
              <a16:creationId xmlns:a16="http://schemas.microsoft.com/office/drawing/2014/main" id="{8B2025FD-06E6-4768-ACF5-5F3CF72A0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044" y="431202"/>
          <a:ext cx="742970" cy="6571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784413</xdr:colOff>
      <xdr:row>2</xdr:row>
      <xdr:rowOff>67233</xdr:rowOff>
    </xdr:from>
    <xdr:to>
      <xdr:col>8</xdr:col>
      <xdr:colOff>734902</xdr:colOff>
      <xdr:row>5</xdr:row>
      <xdr:rowOff>176603</xdr:rowOff>
    </xdr:to>
    <xdr:pic>
      <xdr:nvPicPr>
        <xdr:cNvPr id="3" name="Imagen 2" descr="Resultado de imagen de vaso medio lleno">
          <a:extLst>
            <a:ext uri="{FF2B5EF4-FFF2-40B4-BE49-F238E27FC236}">
              <a16:creationId xmlns:a16="http://schemas.microsoft.com/office/drawing/2014/main" id="{54ACFE45-8BE3-4A9E-8792-B45B70C1A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1773" y="432993"/>
          <a:ext cx="742969" cy="658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739589</xdr:colOff>
      <xdr:row>2</xdr:row>
      <xdr:rowOff>85163</xdr:rowOff>
    </xdr:from>
    <xdr:to>
      <xdr:col>7</xdr:col>
      <xdr:colOff>690079</xdr:colOff>
      <xdr:row>6</xdr:row>
      <xdr:rowOff>10756</xdr:rowOff>
    </xdr:to>
    <xdr:pic>
      <xdr:nvPicPr>
        <xdr:cNvPr id="4" name="Imagen 3" descr="Resultado de imagen de vaso medio lleno">
          <a:extLst>
            <a:ext uri="{FF2B5EF4-FFF2-40B4-BE49-F238E27FC236}">
              <a16:creationId xmlns:a16="http://schemas.microsoft.com/office/drawing/2014/main" id="{BF0339CF-EB7C-4928-92A3-509545F02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4469" y="450923"/>
          <a:ext cx="742970" cy="6571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672354</xdr:colOff>
      <xdr:row>2</xdr:row>
      <xdr:rowOff>49304</xdr:rowOff>
    </xdr:from>
    <xdr:to>
      <xdr:col>6</xdr:col>
      <xdr:colOff>622843</xdr:colOff>
      <xdr:row>5</xdr:row>
      <xdr:rowOff>158674</xdr:rowOff>
    </xdr:to>
    <xdr:pic>
      <xdr:nvPicPr>
        <xdr:cNvPr id="5" name="Imagen 4" descr="Resultado de imagen de vaso medio lleno">
          <a:extLst>
            <a:ext uri="{FF2B5EF4-FFF2-40B4-BE49-F238E27FC236}">
              <a16:creationId xmlns:a16="http://schemas.microsoft.com/office/drawing/2014/main" id="{09219731-C0A7-4DCF-A2D7-E417AAE7A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4754" y="415064"/>
          <a:ext cx="742969" cy="658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609602</xdr:colOff>
      <xdr:row>2</xdr:row>
      <xdr:rowOff>40339</xdr:rowOff>
    </xdr:from>
    <xdr:to>
      <xdr:col>5</xdr:col>
      <xdr:colOff>560092</xdr:colOff>
      <xdr:row>5</xdr:row>
      <xdr:rowOff>149709</xdr:rowOff>
    </xdr:to>
    <xdr:pic>
      <xdr:nvPicPr>
        <xdr:cNvPr id="6" name="Imagen 5" descr="Resultado de imagen de vaso medio lleno">
          <a:extLst>
            <a:ext uri="{FF2B5EF4-FFF2-40B4-BE49-F238E27FC236}">
              <a16:creationId xmlns:a16="http://schemas.microsoft.com/office/drawing/2014/main" id="{D1AD9EDC-646F-4116-809C-FCCF45034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9522" y="406099"/>
          <a:ext cx="742970" cy="658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591672</xdr:colOff>
      <xdr:row>2</xdr:row>
      <xdr:rowOff>35857</xdr:rowOff>
    </xdr:from>
    <xdr:to>
      <xdr:col>4</xdr:col>
      <xdr:colOff>542161</xdr:colOff>
      <xdr:row>5</xdr:row>
      <xdr:rowOff>145227</xdr:rowOff>
    </xdr:to>
    <xdr:pic>
      <xdr:nvPicPr>
        <xdr:cNvPr id="7" name="Imagen 6" descr="Resultado de imagen de vaso medio lleno">
          <a:extLst>
            <a:ext uri="{FF2B5EF4-FFF2-40B4-BE49-F238E27FC236}">
              <a16:creationId xmlns:a16="http://schemas.microsoft.com/office/drawing/2014/main" id="{06BBA133-42C1-4D9E-AF56-0D591F158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112" y="401617"/>
          <a:ext cx="742969" cy="658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564777</xdr:colOff>
      <xdr:row>2</xdr:row>
      <xdr:rowOff>58268</xdr:rowOff>
    </xdr:from>
    <xdr:to>
      <xdr:col>3</xdr:col>
      <xdr:colOff>515267</xdr:colOff>
      <xdr:row>5</xdr:row>
      <xdr:rowOff>167638</xdr:rowOff>
    </xdr:to>
    <xdr:pic>
      <xdr:nvPicPr>
        <xdr:cNvPr id="8" name="Imagen 7" descr="Resultado de imagen de vaso medio lleno">
          <a:extLst>
            <a:ext uri="{FF2B5EF4-FFF2-40B4-BE49-F238E27FC236}">
              <a16:creationId xmlns:a16="http://schemas.microsoft.com/office/drawing/2014/main" id="{5B14482A-3CDF-4D88-BA62-C820B4F68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9737" y="424028"/>
          <a:ext cx="742970" cy="658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452720</xdr:colOff>
      <xdr:row>2</xdr:row>
      <xdr:rowOff>8963</xdr:rowOff>
    </xdr:from>
    <xdr:to>
      <xdr:col>2</xdr:col>
      <xdr:colOff>403209</xdr:colOff>
      <xdr:row>5</xdr:row>
      <xdr:rowOff>118333</xdr:rowOff>
    </xdr:to>
    <xdr:pic>
      <xdr:nvPicPr>
        <xdr:cNvPr id="9" name="Imagen 8" descr="Resultado de imagen de vaso medio lleno">
          <a:extLst>
            <a:ext uri="{FF2B5EF4-FFF2-40B4-BE49-F238E27FC236}">
              <a16:creationId xmlns:a16="http://schemas.microsoft.com/office/drawing/2014/main" id="{81238D9E-BD3D-4C57-AE32-A5F846574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200" y="374723"/>
          <a:ext cx="742969" cy="658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273423</xdr:colOff>
      <xdr:row>8</xdr:row>
      <xdr:rowOff>31377</xdr:rowOff>
    </xdr:from>
    <xdr:to>
      <xdr:col>1</xdr:col>
      <xdr:colOff>341452</xdr:colOff>
      <xdr:row>13</xdr:row>
      <xdr:rowOff>164550</xdr:rowOff>
    </xdr:to>
    <xdr:pic>
      <xdr:nvPicPr>
        <xdr:cNvPr id="10" name="Imagen 9" descr="Resultado de imagen de VASOS LLENOS">
          <a:extLst>
            <a:ext uri="{FF2B5EF4-FFF2-40B4-BE49-F238E27FC236}">
              <a16:creationId xmlns:a16="http://schemas.microsoft.com/office/drawing/2014/main" id="{31FE9CB4-E986-46BE-A795-3929575D9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423" y="1494417"/>
          <a:ext cx="860509" cy="1055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770964</xdr:colOff>
      <xdr:row>8</xdr:row>
      <xdr:rowOff>22414</xdr:rowOff>
    </xdr:from>
    <xdr:to>
      <xdr:col>4</xdr:col>
      <xdr:colOff>45616</xdr:colOff>
      <xdr:row>13</xdr:row>
      <xdr:rowOff>155587</xdr:rowOff>
    </xdr:to>
    <xdr:pic>
      <xdr:nvPicPr>
        <xdr:cNvPr id="11" name="Imagen 10" descr="Resultado de imagen de VASOS LLENOS">
          <a:extLst>
            <a:ext uri="{FF2B5EF4-FFF2-40B4-BE49-F238E27FC236}">
              <a16:creationId xmlns:a16="http://schemas.microsoft.com/office/drawing/2014/main" id="{F62A09F2-80EF-4151-96F7-8357282C0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5924" y="1485454"/>
          <a:ext cx="859612" cy="1055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210670</xdr:colOff>
      <xdr:row>7</xdr:row>
      <xdr:rowOff>179296</xdr:rowOff>
    </xdr:from>
    <xdr:to>
      <xdr:col>5</xdr:col>
      <xdr:colOff>278699</xdr:colOff>
      <xdr:row>13</xdr:row>
      <xdr:rowOff>120671</xdr:rowOff>
    </xdr:to>
    <xdr:pic>
      <xdr:nvPicPr>
        <xdr:cNvPr id="12" name="Imagen 11" descr="Resultado de imagen de VASOS LLENOS">
          <a:extLst>
            <a:ext uri="{FF2B5EF4-FFF2-40B4-BE49-F238E27FC236}">
              <a16:creationId xmlns:a16="http://schemas.microsoft.com/office/drawing/2014/main" id="{4B40636E-B029-4248-997F-1663B1308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0590" y="1459456"/>
          <a:ext cx="860509" cy="1054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475129</xdr:colOff>
      <xdr:row>8</xdr:row>
      <xdr:rowOff>31377</xdr:rowOff>
    </xdr:from>
    <xdr:to>
      <xdr:col>2</xdr:col>
      <xdr:colOff>543157</xdr:colOff>
      <xdr:row>13</xdr:row>
      <xdr:rowOff>164550</xdr:rowOff>
    </xdr:to>
    <xdr:pic>
      <xdr:nvPicPr>
        <xdr:cNvPr id="13" name="Imagen 12" descr="Resultado de imagen de VASOS LLENOS">
          <a:extLst>
            <a:ext uri="{FF2B5EF4-FFF2-40B4-BE49-F238E27FC236}">
              <a16:creationId xmlns:a16="http://schemas.microsoft.com/office/drawing/2014/main" id="{2408F7B0-E8C7-4428-86D0-D7AB7EB65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609" y="1494417"/>
          <a:ext cx="860508" cy="1055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269000</xdr:colOff>
      <xdr:row>14</xdr:row>
      <xdr:rowOff>143434</xdr:rowOff>
    </xdr:from>
    <xdr:to>
      <xdr:col>1</xdr:col>
      <xdr:colOff>458566</xdr:colOff>
      <xdr:row>18</xdr:row>
      <xdr:rowOff>62037</xdr:rowOff>
    </xdr:to>
    <xdr:pic>
      <xdr:nvPicPr>
        <xdr:cNvPr id="14" name="Imagen 13" descr="No importa si el vaso está medio lleno o medio vacío, sino si se está ...">
          <a:extLst>
            <a:ext uri="{FF2B5EF4-FFF2-40B4-BE49-F238E27FC236}">
              <a16:creationId xmlns:a16="http://schemas.microsoft.com/office/drawing/2014/main" id="{5DF5FFE1-60B7-4640-A72C-A79D7BA7A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000" y="2703754"/>
          <a:ext cx="982046" cy="6581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443812</xdr:colOff>
      <xdr:row>14</xdr:row>
      <xdr:rowOff>98611</xdr:rowOff>
    </xdr:from>
    <xdr:to>
      <xdr:col>8</xdr:col>
      <xdr:colOff>633377</xdr:colOff>
      <xdr:row>18</xdr:row>
      <xdr:rowOff>17214</xdr:rowOff>
    </xdr:to>
    <xdr:pic>
      <xdr:nvPicPr>
        <xdr:cNvPr id="15" name="Imagen 14" descr="No importa si el vaso está medio lleno o medio vacío, sino si se está ...">
          <a:extLst>
            <a:ext uri="{FF2B5EF4-FFF2-40B4-BE49-F238E27FC236}">
              <a16:creationId xmlns:a16="http://schemas.microsoft.com/office/drawing/2014/main" id="{7885BCD6-6F3D-46B6-B76E-4F7BF9A44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172" y="2658931"/>
          <a:ext cx="982045" cy="6581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618623</xdr:colOff>
      <xdr:row>14</xdr:row>
      <xdr:rowOff>134469</xdr:rowOff>
    </xdr:from>
    <xdr:to>
      <xdr:col>3</xdr:col>
      <xdr:colOff>14812</xdr:colOff>
      <xdr:row>18</xdr:row>
      <xdr:rowOff>53072</xdr:rowOff>
    </xdr:to>
    <xdr:pic>
      <xdr:nvPicPr>
        <xdr:cNvPr id="16" name="Imagen 15" descr="No importa si el vaso está medio lleno o medio vacío, sino si se está ...">
          <a:extLst>
            <a:ext uri="{FF2B5EF4-FFF2-40B4-BE49-F238E27FC236}">
              <a16:creationId xmlns:a16="http://schemas.microsoft.com/office/drawing/2014/main" id="{52694131-33F1-4AA2-9562-E64C15EAE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1103" y="2694789"/>
          <a:ext cx="981149" cy="6581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170388</xdr:colOff>
      <xdr:row>14</xdr:row>
      <xdr:rowOff>121023</xdr:rowOff>
    </xdr:from>
    <xdr:to>
      <xdr:col>4</xdr:col>
      <xdr:colOff>359953</xdr:colOff>
      <xdr:row>18</xdr:row>
      <xdr:rowOff>39626</xdr:rowOff>
    </xdr:to>
    <xdr:pic>
      <xdr:nvPicPr>
        <xdr:cNvPr id="17" name="Imagen 16" descr="No importa si el vaso está medio lleno o medio vacío, sino si se está ...">
          <a:extLst>
            <a:ext uri="{FF2B5EF4-FFF2-40B4-BE49-F238E27FC236}">
              <a16:creationId xmlns:a16="http://schemas.microsoft.com/office/drawing/2014/main" id="{AC1B600D-527B-4BC4-9525-25CAE741E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7828" y="2681343"/>
          <a:ext cx="982045" cy="6581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457259</xdr:colOff>
      <xdr:row>14</xdr:row>
      <xdr:rowOff>62752</xdr:rowOff>
    </xdr:from>
    <xdr:to>
      <xdr:col>5</xdr:col>
      <xdr:colOff>646825</xdr:colOff>
      <xdr:row>17</xdr:row>
      <xdr:rowOff>163339</xdr:rowOff>
    </xdr:to>
    <xdr:pic>
      <xdr:nvPicPr>
        <xdr:cNvPr id="18" name="Imagen 17" descr="No importa si el vaso está medio lleno o medio vacío, sino si se está ...">
          <a:extLst>
            <a:ext uri="{FF2B5EF4-FFF2-40B4-BE49-F238E27FC236}">
              <a16:creationId xmlns:a16="http://schemas.microsoft.com/office/drawing/2014/main" id="{02291078-D9FD-4B5B-9B38-47A8E4B34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7179" y="2623072"/>
          <a:ext cx="982046" cy="6572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53847</xdr:colOff>
      <xdr:row>14</xdr:row>
      <xdr:rowOff>53787</xdr:rowOff>
    </xdr:from>
    <xdr:to>
      <xdr:col>7</xdr:col>
      <xdr:colOff>243413</xdr:colOff>
      <xdr:row>17</xdr:row>
      <xdr:rowOff>154374</xdr:rowOff>
    </xdr:to>
    <xdr:pic>
      <xdr:nvPicPr>
        <xdr:cNvPr id="19" name="Imagen 18" descr="No importa si el vaso está medio lleno o medio vacío, sino si se está ...">
          <a:extLst>
            <a:ext uri="{FF2B5EF4-FFF2-40B4-BE49-F238E27FC236}">
              <a16:creationId xmlns:a16="http://schemas.microsoft.com/office/drawing/2014/main" id="{C5E97DAF-A9AB-4E89-BE6D-222C282B9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8727" y="2614107"/>
          <a:ext cx="982046" cy="6572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322729</xdr:colOff>
      <xdr:row>14</xdr:row>
      <xdr:rowOff>89648</xdr:rowOff>
    </xdr:from>
    <xdr:to>
      <xdr:col>11</xdr:col>
      <xdr:colOff>512295</xdr:colOff>
      <xdr:row>18</xdr:row>
      <xdr:rowOff>8251</xdr:rowOff>
    </xdr:to>
    <xdr:pic>
      <xdr:nvPicPr>
        <xdr:cNvPr id="20" name="Imagen 19" descr="No importa si el vaso está medio lleno o medio vacío, sino si se está ...">
          <a:extLst>
            <a:ext uri="{FF2B5EF4-FFF2-40B4-BE49-F238E27FC236}">
              <a16:creationId xmlns:a16="http://schemas.microsoft.com/office/drawing/2014/main" id="{CB271C0B-4AB9-4024-BC0B-718F01CD5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7529" y="2649968"/>
          <a:ext cx="982046" cy="6581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779929</xdr:colOff>
      <xdr:row>14</xdr:row>
      <xdr:rowOff>116541</xdr:rowOff>
    </xdr:from>
    <xdr:to>
      <xdr:col>10</xdr:col>
      <xdr:colOff>176118</xdr:colOff>
      <xdr:row>18</xdr:row>
      <xdr:rowOff>35144</xdr:rowOff>
    </xdr:to>
    <xdr:pic>
      <xdr:nvPicPr>
        <xdr:cNvPr id="21" name="Imagen 20" descr="No importa si el vaso está medio lleno o medio vacío, sino si se está ...">
          <a:extLst>
            <a:ext uri="{FF2B5EF4-FFF2-40B4-BE49-F238E27FC236}">
              <a16:creationId xmlns:a16="http://schemas.microsoft.com/office/drawing/2014/main" id="{6133246D-587C-45AA-92C2-A3631ADDE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9769" y="2676861"/>
          <a:ext cx="981149" cy="6581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327212</xdr:colOff>
      <xdr:row>20</xdr:row>
      <xdr:rowOff>103095</xdr:rowOff>
    </xdr:from>
    <xdr:to>
      <xdr:col>1</xdr:col>
      <xdr:colOff>210671</xdr:colOff>
      <xdr:row>25</xdr:row>
      <xdr:rowOff>17150</xdr:rowOff>
    </xdr:to>
    <xdr:pic>
      <xdr:nvPicPr>
        <xdr:cNvPr id="22" name="Imagen 21" descr="Resultado de imagen de VASOS LLENOS">
          <a:extLst>
            <a:ext uri="{FF2B5EF4-FFF2-40B4-BE49-F238E27FC236}">
              <a16:creationId xmlns:a16="http://schemas.microsoft.com/office/drawing/2014/main" id="{A96CAA92-78C3-4B6C-89D9-3A4F2C633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212" y="4309335"/>
          <a:ext cx="675939" cy="828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551330</xdr:colOff>
      <xdr:row>20</xdr:row>
      <xdr:rowOff>121025</xdr:rowOff>
    </xdr:from>
    <xdr:to>
      <xdr:col>2</xdr:col>
      <xdr:colOff>434788</xdr:colOff>
      <xdr:row>25</xdr:row>
      <xdr:rowOff>35080</xdr:rowOff>
    </xdr:to>
    <xdr:pic>
      <xdr:nvPicPr>
        <xdr:cNvPr id="23" name="Imagen 22" descr="Resultado de imagen de VASOS LLENOS">
          <a:extLst>
            <a:ext uri="{FF2B5EF4-FFF2-40B4-BE49-F238E27FC236}">
              <a16:creationId xmlns:a16="http://schemas.microsoft.com/office/drawing/2014/main" id="{5A0B1B9A-19C3-401C-AFE7-3941A1B84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810" y="4327265"/>
          <a:ext cx="675938" cy="828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555812</xdr:colOff>
      <xdr:row>15</xdr:row>
      <xdr:rowOff>143434</xdr:rowOff>
    </xdr:from>
    <xdr:to>
      <xdr:col>5</xdr:col>
      <xdr:colOff>125506</xdr:colOff>
      <xdr:row>17</xdr:row>
      <xdr:rowOff>103094</xdr:rowOff>
    </xdr:to>
    <xdr:sp macro="" textlink="">
      <xdr:nvSpPr>
        <xdr:cNvPr id="24" name="Flecha: curvada hacia arriba 23">
          <a:extLst>
            <a:ext uri="{FF2B5EF4-FFF2-40B4-BE49-F238E27FC236}">
              <a16:creationId xmlns:a16="http://schemas.microsoft.com/office/drawing/2014/main" id="{634552FE-31E1-4985-B189-AD2DC8EFBCDF}"/>
            </a:ext>
          </a:extLst>
        </xdr:cNvPr>
        <xdr:cNvSpPr/>
      </xdr:nvSpPr>
      <xdr:spPr>
        <a:xfrm>
          <a:off x="555812" y="3435274"/>
          <a:ext cx="3532094" cy="325420"/>
        </a:xfrm>
        <a:prstGeom prst="curved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354106</xdr:colOff>
      <xdr:row>5</xdr:row>
      <xdr:rowOff>112058</xdr:rowOff>
    </xdr:from>
    <xdr:to>
      <xdr:col>4</xdr:col>
      <xdr:colOff>53788</xdr:colOff>
      <xdr:row>7</xdr:row>
      <xdr:rowOff>71718</xdr:rowOff>
    </xdr:to>
    <xdr:sp macro="" textlink="">
      <xdr:nvSpPr>
        <xdr:cNvPr id="25" name="Flecha: curvada hacia arriba 24">
          <a:extLst>
            <a:ext uri="{FF2B5EF4-FFF2-40B4-BE49-F238E27FC236}">
              <a16:creationId xmlns:a16="http://schemas.microsoft.com/office/drawing/2014/main" id="{D46D2744-180C-4294-8C26-0C0615BEAEEC}"/>
            </a:ext>
          </a:extLst>
        </xdr:cNvPr>
        <xdr:cNvSpPr/>
      </xdr:nvSpPr>
      <xdr:spPr>
        <a:xfrm>
          <a:off x="2731546" y="1026458"/>
          <a:ext cx="492162" cy="325420"/>
        </a:xfrm>
        <a:prstGeom prst="curved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367553</xdr:colOff>
      <xdr:row>5</xdr:row>
      <xdr:rowOff>138952</xdr:rowOff>
    </xdr:from>
    <xdr:to>
      <xdr:col>6</xdr:col>
      <xdr:colOff>67235</xdr:colOff>
      <xdr:row>7</xdr:row>
      <xdr:rowOff>98612</xdr:rowOff>
    </xdr:to>
    <xdr:sp macro="" textlink="">
      <xdr:nvSpPr>
        <xdr:cNvPr id="26" name="Flecha: curvada hacia arriba 25">
          <a:extLst>
            <a:ext uri="{FF2B5EF4-FFF2-40B4-BE49-F238E27FC236}">
              <a16:creationId xmlns:a16="http://schemas.microsoft.com/office/drawing/2014/main" id="{F5ADEF17-A804-4FA5-B278-3739248B6127}"/>
            </a:ext>
          </a:extLst>
        </xdr:cNvPr>
        <xdr:cNvSpPr/>
      </xdr:nvSpPr>
      <xdr:spPr>
        <a:xfrm>
          <a:off x="4329953" y="1053352"/>
          <a:ext cx="492162" cy="325420"/>
        </a:xfrm>
        <a:prstGeom prst="curved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466165</xdr:colOff>
      <xdr:row>5</xdr:row>
      <xdr:rowOff>165848</xdr:rowOff>
    </xdr:from>
    <xdr:to>
      <xdr:col>8</xdr:col>
      <xdr:colOff>165847</xdr:colOff>
      <xdr:row>7</xdr:row>
      <xdr:rowOff>125508</xdr:rowOff>
    </xdr:to>
    <xdr:sp macro="" textlink="">
      <xdr:nvSpPr>
        <xdr:cNvPr id="27" name="Flecha: curvada hacia arriba 26">
          <a:extLst>
            <a:ext uri="{FF2B5EF4-FFF2-40B4-BE49-F238E27FC236}">
              <a16:creationId xmlns:a16="http://schemas.microsoft.com/office/drawing/2014/main" id="{227F270E-A506-40C3-9CF2-A4C757C2580F}"/>
            </a:ext>
          </a:extLst>
        </xdr:cNvPr>
        <xdr:cNvSpPr/>
      </xdr:nvSpPr>
      <xdr:spPr>
        <a:xfrm>
          <a:off x="6013525" y="1080248"/>
          <a:ext cx="492162" cy="325420"/>
        </a:xfrm>
        <a:prstGeom prst="curved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210671</xdr:colOff>
      <xdr:row>6</xdr:row>
      <xdr:rowOff>40340</xdr:rowOff>
    </xdr:from>
    <xdr:to>
      <xdr:col>1</xdr:col>
      <xdr:colOff>703730</xdr:colOff>
      <xdr:row>8</xdr:row>
      <xdr:rowOff>0</xdr:rowOff>
    </xdr:to>
    <xdr:sp macro="" textlink="">
      <xdr:nvSpPr>
        <xdr:cNvPr id="28" name="Flecha: curvada hacia arriba 27">
          <a:extLst>
            <a:ext uri="{FF2B5EF4-FFF2-40B4-BE49-F238E27FC236}">
              <a16:creationId xmlns:a16="http://schemas.microsoft.com/office/drawing/2014/main" id="{AF8DC2D6-931B-42E8-B5F8-E862358FC9B7}"/>
            </a:ext>
          </a:extLst>
        </xdr:cNvPr>
        <xdr:cNvSpPr/>
      </xdr:nvSpPr>
      <xdr:spPr>
        <a:xfrm>
          <a:off x="1003151" y="1137620"/>
          <a:ext cx="493059" cy="325420"/>
        </a:xfrm>
        <a:prstGeom prst="curved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107576</xdr:colOff>
      <xdr:row>15</xdr:row>
      <xdr:rowOff>58269</xdr:rowOff>
    </xdr:from>
    <xdr:to>
      <xdr:col>10</xdr:col>
      <xdr:colOff>470646</xdr:colOff>
      <xdr:row>17</xdr:row>
      <xdr:rowOff>17929</xdr:rowOff>
    </xdr:to>
    <xdr:sp macro="" textlink="">
      <xdr:nvSpPr>
        <xdr:cNvPr id="29" name="Flecha: curvada hacia arriba 28">
          <a:extLst>
            <a:ext uri="{FF2B5EF4-FFF2-40B4-BE49-F238E27FC236}">
              <a16:creationId xmlns:a16="http://schemas.microsoft.com/office/drawing/2014/main" id="{48C5DB77-7868-4591-A2E4-2017524DADC2}"/>
            </a:ext>
          </a:extLst>
        </xdr:cNvPr>
        <xdr:cNvSpPr/>
      </xdr:nvSpPr>
      <xdr:spPr>
        <a:xfrm>
          <a:off x="4862456" y="3350109"/>
          <a:ext cx="3532990" cy="325420"/>
        </a:xfrm>
        <a:prstGeom prst="curved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>
            <a:solidFill>
              <a:schemeClr val="tx1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266700</xdr:colOff>
      <xdr:row>25</xdr:row>
      <xdr:rowOff>151130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C7CE2C-C59C-44CF-8574-81D4419BC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2880"/>
          <a:ext cx="3436620" cy="454025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42045-FA6C-4FAA-A450-DB0F47DE035B}">
  <dimension ref="P2:R17"/>
  <sheetViews>
    <sheetView topLeftCell="F2" zoomScale="98" zoomScaleNormal="120" workbookViewId="0">
      <selection activeCell="P9" sqref="P9"/>
    </sheetView>
  </sheetViews>
  <sheetFormatPr baseColWidth="10" defaultRowHeight="14.4" x14ac:dyDescent="0.3"/>
  <cols>
    <col min="16" max="16" width="42.88671875" customWidth="1"/>
    <col min="18" max="18" width="19" customWidth="1"/>
  </cols>
  <sheetData>
    <row r="2" spans="16:18" ht="18" x14ac:dyDescent="0.35">
      <c r="P2" s="1" t="s">
        <v>0</v>
      </c>
      <c r="R2" s="2" t="s">
        <v>15</v>
      </c>
    </row>
    <row r="4" spans="16:18" x14ac:dyDescent="0.3">
      <c r="P4" t="s">
        <v>1</v>
      </c>
      <c r="R4" t="s">
        <v>16</v>
      </c>
    </row>
    <row r="5" spans="16:18" x14ac:dyDescent="0.3">
      <c r="P5" t="s">
        <v>2</v>
      </c>
      <c r="R5" t="s">
        <v>17</v>
      </c>
    </row>
    <row r="6" spans="16:18" x14ac:dyDescent="0.3">
      <c r="P6" t="s">
        <v>3</v>
      </c>
      <c r="R6" t="s">
        <v>18</v>
      </c>
    </row>
    <row r="7" spans="16:18" x14ac:dyDescent="0.3">
      <c r="P7" t="s">
        <v>4</v>
      </c>
      <c r="R7" t="s">
        <v>19</v>
      </c>
    </row>
    <row r="8" spans="16:18" x14ac:dyDescent="0.3">
      <c r="P8" t="s">
        <v>5</v>
      </c>
      <c r="R8" t="s">
        <v>20</v>
      </c>
    </row>
    <row r="9" spans="16:18" x14ac:dyDescent="0.3">
      <c r="P9" t="s">
        <v>6</v>
      </c>
      <c r="R9" t="s">
        <v>21</v>
      </c>
    </row>
    <row r="10" spans="16:18" x14ac:dyDescent="0.3">
      <c r="P10" t="s">
        <v>7</v>
      </c>
    </row>
    <row r="11" spans="16:18" x14ac:dyDescent="0.3">
      <c r="P11" t="s">
        <v>8</v>
      </c>
    </row>
    <row r="12" spans="16:18" x14ac:dyDescent="0.3">
      <c r="P12" t="s">
        <v>9</v>
      </c>
    </row>
    <row r="13" spans="16:18" x14ac:dyDescent="0.3">
      <c r="P13" t="s">
        <v>10</v>
      </c>
    </row>
    <row r="14" spans="16:18" x14ac:dyDescent="0.3">
      <c r="P14" t="s">
        <v>11</v>
      </c>
    </row>
    <row r="15" spans="16:18" x14ac:dyDescent="0.3">
      <c r="P15" t="s">
        <v>12</v>
      </c>
    </row>
    <row r="16" spans="16:18" x14ac:dyDescent="0.3">
      <c r="P16" t="s">
        <v>13</v>
      </c>
    </row>
    <row r="17" spans="16:16" x14ac:dyDescent="0.3">
      <c r="P17" t="s">
        <v>14</v>
      </c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58329-3ACF-4124-8307-998FC81DF361}">
  <dimension ref="A2:Y33"/>
  <sheetViews>
    <sheetView topLeftCell="Q10" zoomScale="190" zoomScaleNormal="190" workbookViewId="0">
      <selection activeCell="R16" sqref="R16"/>
    </sheetView>
  </sheetViews>
  <sheetFormatPr baseColWidth="10" defaultRowHeight="14.4" x14ac:dyDescent="0.3"/>
  <cols>
    <col min="19" max="19" width="12.21875" bestFit="1" customWidth="1"/>
    <col min="24" max="24" width="12.21875" bestFit="1" customWidth="1"/>
  </cols>
  <sheetData>
    <row r="2" spans="1:25" ht="21" x14ac:dyDescent="0.4">
      <c r="A2" s="84" t="s">
        <v>120</v>
      </c>
    </row>
    <row r="3" spans="1:25" x14ac:dyDescent="0.3">
      <c r="Q3" t="s">
        <v>192</v>
      </c>
      <c r="R3" t="s">
        <v>193</v>
      </c>
      <c r="S3">
        <v>50000</v>
      </c>
    </row>
    <row r="4" spans="1:25" x14ac:dyDescent="0.3">
      <c r="R4" t="s">
        <v>194</v>
      </c>
      <c r="S4">
        <v>30000</v>
      </c>
    </row>
    <row r="5" spans="1:25" x14ac:dyDescent="0.3">
      <c r="R5" t="s">
        <v>195</v>
      </c>
      <c r="S5">
        <v>20000</v>
      </c>
    </row>
    <row r="6" spans="1:25" x14ac:dyDescent="0.3">
      <c r="R6" t="s">
        <v>196</v>
      </c>
      <c r="S6" s="3">
        <f>SUM(S3:S5)</f>
        <v>100000</v>
      </c>
    </row>
    <row r="8" spans="1:25" ht="15" thickBot="1" x14ac:dyDescent="0.35">
      <c r="A8" t="s">
        <v>121</v>
      </c>
      <c r="B8" t="s">
        <v>122</v>
      </c>
      <c r="R8">
        <v>20000</v>
      </c>
      <c r="S8" t="s">
        <v>197</v>
      </c>
      <c r="T8" t="s">
        <v>198</v>
      </c>
      <c r="V8" t="s">
        <v>199</v>
      </c>
      <c r="W8" s="25" t="s">
        <v>154</v>
      </c>
      <c r="X8" s="85">
        <f>+S6</f>
        <v>100000</v>
      </c>
      <c r="Y8" s="3">
        <f>+X8/X9</f>
        <v>5</v>
      </c>
    </row>
    <row r="9" spans="1:25" x14ac:dyDescent="0.3">
      <c r="W9" t="s">
        <v>190</v>
      </c>
      <c r="X9">
        <f>+R8</f>
        <v>20000</v>
      </c>
    </row>
    <row r="10" spans="1:25" x14ac:dyDescent="0.3">
      <c r="H10" s="59"/>
    </row>
    <row r="11" spans="1:25" ht="15" thickBot="1" x14ac:dyDescent="0.35">
      <c r="G11" t="s">
        <v>123</v>
      </c>
      <c r="N11">
        <v>8</v>
      </c>
      <c r="O11" s="59">
        <v>0.5</v>
      </c>
      <c r="P11">
        <f>+N11*O11</f>
        <v>4</v>
      </c>
      <c r="R11">
        <v>20000</v>
      </c>
      <c r="S11" t="s">
        <v>200</v>
      </c>
      <c r="V11" t="s">
        <v>199</v>
      </c>
      <c r="W11" s="25" t="s">
        <v>154</v>
      </c>
      <c r="X11" s="85">
        <v>100000</v>
      </c>
      <c r="Y11" s="3">
        <f>+X11/X12</f>
        <v>5.882352941176471</v>
      </c>
    </row>
    <row r="12" spans="1:25" x14ac:dyDescent="0.3">
      <c r="H12">
        <v>8</v>
      </c>
      <c r="I12" s="59">
        <v>0.5</v>
      </c>
      <c r="J12">
        <f>+H12*I12</f>
        <v>4</v>
      </c>
      <c r="N12">
        <v>8</v>
      </c>
      <c r="O12" s="59">
        <v>0.25</v>
      </c>
      <c r="P12">
        <f>+N12*O12</f>
        <v>2</v>
      </c>
      <c r="R12">
        <v>17000</v>
      </c>
      <c r="S12" t="s">
        <v>201</v>
      </c>
      <c r="W12" t="s">
        <v>190</v>
      </c>
      <c r="X12">
        <v>17000</v>
      </c>
    </row>
    <row r="13" spans="1:25" x14ac:dyDescent="0.3">
      <c r="N13">
        <v>8</v>
      </c>
      <c r="O13" s="59">
        <v>0.75</v>
      </c>
      <c r="P13">
        <f>+N13*O13</f>
        <v>6</v>
      </c>
      <c r="R13">
        <v>3000</v>
      </c>
      <c r="S13" t="s">
        <v>202</v>
      </c>
    </row>
    <row r="14" spans="1:25" ht="15" thickBot="1" x14ac:dyDescent="0.35">
      <c r="N14">
        <v>8</v>
      </c>
      <c r="O14" s="59">
        <v>0.4</v>
      </c>
      <c r="P14">
        <f>+N14*O14</f>
        <v>3.2</v>
      </c>
      <c r="Q14" t="s">
        <v>203</v>
      </c>
      <c r="R14" s="59">
        <v>0.6</v>
      </c>
      <c r="V14" t="s">
        <v>199</v>
      </c>
      <c r="W14" s="25" t="s">
        <v>154</v>
      </c>
      <c r="X14" s="85">
        <v>100000</v>
      </c>
      <c r="Y14" s="3">
        <f>+X14/X15</f>
        <v>5</v>
      </c>
    </row>
    <row r="15" spans="1:25" ht="57.6" x14ac:dyDescent="0.3">
      <c r="N15" s="60" t="s">
        <v>124</v>
      </c>
      <c r="O15" s="60" t="s">
        <v>125</v>
      </c>
      <c r="P15" s="60" t="s">
        <v>126</v>
      </c>
      <c r="Q15" s="60" t="s">
        <v>204</v>
      </c>
      <c r="R15">
        <f>+R13*R14</f>
        <v>1800</v>
      </c>
      <c r="W15" t="s">
        <v>190</v>
      </c>
      <c r="X15">
        <v>20000</v>
      </c>
    </row>
    <row r="16" spans="1:25" x14ac:dyDescent="0.3">
      <c r="N16">
        <v>3000</v>
      </c>
      <c r="O16" s="59">
        <v>0.5</v>
      </c>
      <c r="P16">
        <f>+N16*O16</f>
        <v>1500</v>
      </c>
      <c r="Q16" t="s">
        <v>205</v>
      </c>
      <c r="R16">
        <f>+R12+R15</f>
        <v>18800</v>
      </c>
    </row>
    <row r="17" spans="1:25" ht="15" thickBot="1" x14ac:dyDescent="0.35">
      <c r="N17">
        <v>3000</v>
      </c>
      <c r="O17" s="59">
        <v>0.25</v>
      </c>
      <c r="P17">
        <f t="shared" ref="P17:P21" si="0">+N17*O17</f>
        <v>750</v>
      </c>
      <c r="V17" t="s">
        <v>199</v>
      </c>
      <c r="W17" s="25" t="s">
        <v>154</v>
      </c>
      <c r="X17" s="85">
        <v>100000</v>
      </c>
      <c r="Y17" s="3">
        <f>+X17/X18</f>
        <v>5.3191489361702127</v>
      </c>
    </row>
    <row r="18" spans="1:25" x14ac:dyDescent="0.3">
      <c r="N18">
        <v>3000</v>
      </c>
      <c r="O18" s="59">
        <v>0.35</v>
      </c>
      <c r="P18">
        <f t="shared" si="0"/>
        <v>1050</v>
      </c>
      <c r="W18" t="s">
        <v>190</v>
      </c>
      <c r="X18">
        <v>18800</v>
      </c>
    </row>
    <row r="19" spans="1:25" x14ac:dyDescent="0.3">
      <c r="N19">
        <v>3000</v>
      </c>
      <c r="O19" s="59">
        <v>0.6</v>
      </c>
      <c r="P19">
        <f t="shared" si="0"/>
        <v>1800</v>
      </c>
    </row>
    <row r="20" spans="1:25" x14ac:dyDescent="0.3">
      <c r="A20" t="s">
        <v>121</v>
      </c>
      <c r="B20" t="s">
        <v>127</v>
      </c>
      <c r="E20" s="59"/>
      <c r="N20">
        <v>3000</v>
      </c>
      <c r="O20" s="59">
        <v>0.7</v>
      </c>
      <c r="P20">
        <f t="shared" si="0"/>
        <v>2100</v>
      </c>
    </row>
    <row r="21" spans="1:25" x14ac:dyDescent="0.3">
      <c r="N21">
        <v>3000</v>
      </c>
      <c r="O21" s="59">
        <v>0.98</v>
      </c>
      <c r="P21">
        <f t="shared" si="0"/>
        <v>2940</v>
      </c>
    </row>
    <row r="22" spans="1:25" x14ac:dyDescent="0.3">
      <c r="I22" s="1" t="s">
        <v>133</v>
      </c>
    </row>
    <row r="23" spans="1:25" x14ac:dyDescent="0.3">
      <c r="D23" t="s">
        <v>128</v>
      </c>
      <c r="H23">
        <v>8</v>
      </c>
      <c r="I23" s="59">
        <v>0.25</v>
      </c>
      <c r="J23">
        <f>+H23*I23</f>
        <v>2</v>
      </c>
      <c r="N23" s="18">
        <v>1000000</v>
      </c>
      <c r="O23">
        <f>+N23/N24</f>
        <v>2500</v>
      </c>
    </row>
    <row r="24" spans="1:25" x14ac:dyDescent="0.3">
      <c r="N24">
        <v>400</v>
      </c>
    </row>
    <row r="26" spans="1:25" x14ac:dyDescent="0.3">
      <c r="N26" s="18">
        <v>1000000</v>
      </c>
      <c r="O26">
        <f>+N26/N27</f>
        <v>2777.7777777777778</v>
      </c>
    </row>
    <row r="27" spans="1:25" x14ac:dyDescent="0.3">
      <c r="B27" t="s">
        <v>129</v>
      </c>
      <c r="N27">
        <v>360</v>
      </c>
    </row>
    <row r="28" spans="1:25" ht="28.8" x14ac:dyDescent="0.3">
      <c r="B28" s="61" t="s">
        <v>130</v>
      </c>
      <c r="C28" s="62" t="s">
        <v>131</v>
      </c>
      <c r="D28" s="61" t="s">
        <v>132</v>
      </c>
      <c r="L28" t="s">
        <v>133</v>
      </c>
      <c r="N28" s="18">
        <v>1000000</v>
      </c>
      <c r="O28">
        <f>+N28/N29</f>
        <v>2577.319587628866</v>
      </c>
    </row>
    <row r="29" spans="1:25" x14ac:dyDescent="0.3">
      <c r="B29" s="63">
        <v>2000</v>
      </c>
      <c r="C29" s="64">
        <v>0.7</v>
      </c>
      <c r="D29" s="63">
        <f>+B29*C29</f>
        <v>1400</v>
      </c>
      <c r="K29">
        <v>40</v>
      </c>
      <c r="L29" s="65">
        <v>0.7</v>
      </c>
      <c r="M29" s="66">
        <f>+K29*L29</f>
        <v>28</v>
      </c>
      <c r="N29">
        <f>+N27+M29</f>
        <v>388</v>
      </c>
    </row>
    <row r="31" spans="1:25" x14ac:dyDescent="0.3">
      <c r="L31" t="s">
        <v>134</v>
      </c>
      <c r="P31">
        <v>360</v>
      </c>
    </row>
    <row r="32" spans="1:25" x14ac:dyDescent="0.3">
      <c r="L32" t="s">
        <v>135</v>
      </c>
      <c r="N32">
        <v>40</v>
      </c>
      <c r="O32" s="59">
        <v>0.7</v>
      </c>
      <c r="P32">
        <f>+N32*O32</f>
        <v>28</v>
      </c>
    </row>
    <row r="33" spans="15:16" x14ac:dyDescent="0.3">
      <c r="O33" t="s">
        <v>136</v>
      </c>
      <c r="P33">
        <f>+P31+P32</f>
        <v>388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2B047-DA9E-42AA-88F2-10015082981B}">
  <dimension ref="A1"/>
  <sheetViews>
    <sheetView workbookViewId="0">
      <selection activeCell="G12" sqref="G12"/>
    </sheetView>
  </sheetViews>
  <sheetFormatPr baseColWidth="10" defaultRowHeight="14.4" x14ac:dyDescent="0.3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E41A2-C3D6-4B0A-A7DE-DAF325B42E4A}">
  <dimension ref="B2:H14"/>
  <sheetViews>
    <sheetView zoomScale="140" zoomScaleNormal="140" workbookViewId="0">
      <selection activeCell="H14" sqref="H14"/>
    </sheetView>
  </sheetViews>
  <sheetFormatPr baseColWidth="10" defaultRowHeight="14.4" x14ac:dyDescent="0.3"/>
  <cols>
    <col min="8" max="8" width="12.21875" bestFit="1" customWidth="1"/>
  </cols>
  <sheetData>
    <row r="2" spans="2:8" x14ac:dyDescent="0.3">
      <c r="B2" s="67" t="s">
        <v>137</v>
      </c>
    </row>
    <row r="3" spans="2:8" x14ac:dyDescent="0.3">
      <c r="B3" s="67"/>
    </row>
    <row r="4" spans="2:8" ht="27.6" x14ac:dyDescent="0.3">
      <c r="B4" s="68" t="s">
        <v>138</v>
      </c>
      <c r="C4" s="68" t="s">
        <v>133</v>
      </c>
    </row>
    <row r="5" spans="2:8" x14ac:dyDescent="0.3">
      <c r="B5" s="69">
        <v>0.6</v>
      </c>
      <c r="C5" s="69">
        <v>0.9</v>
      </c>
    </row>
    <row r="6" spans="2:8" x14ac:dyDescent="0.3">
      <c r="B6" s="69">
        <v>0.25</v>
      </c>
      <c r="C6" s="69">
        <v>0.92</v>
      </c>
    </row>
    <row r="7" spans="2:8" x14ac:dyDescent="0.3">
      <c r="B7" s="69">
        <v>0.15</v>
      </c>
      <c r="C7" s="69">
        <v>0.98</v>
      </c>
    </row>
    <row r="9" spans="2:8" x14ac:dyDescent="0.3">
      <c r="D9" t="s">
        <v>139</v>
      </c>
      <c r="F9" t="s">
        <v>139</v>
      </c>
    </row>
    <row r="10" spans="2:8" x14ac:dyDescent="0.3">
      <c r="B10" t="s">
        <v>139</v>
      </c>
      <c r="C10" t="s">
        <v>140</v>
      </c>
      <c r="D10" t="s">
        <v>206</v>
      </c>
      <c r="E10" t="s">
        <v>133</v>
      </c>
      <c r="F10" t="s">
        <v>141</v>
      </c>
      <c r="G10" t="s">
        <v>207</v>
      </c>
    </row>
    <row r="11" spans="2:8" x14ac:dyDescent="0.3">
      <c r="B11">
        <v>40000</v>
      </c>
      <c r="C11" s="86">
        <v>0.6</v>
      </c>
      <c r="D11" s="41">
        <f>+B11*C11</f>
        <v>24000</v>
      </c>
      <c r="E11" s="59">
        <v>0.9</v>
      </c>
      <c r="F11" s="40">
        <f>+D11*E11</f>
        <v>21600</v>
      </c>
      <c r="G11" s="3">
        <v>20</v>
      </c>
      <c r="H11" s="9">
        <f>+F11*G11</f>
        <v>432000</v>
      </c>
    </row>
    <row r="12" spans="2:8" x14ac:dyDescent="0.3">
      <c r="B12">
        <f>B11</f>
        <v>40000</v>
      </c>
      <c r="C12" s="86">
        <v>0.25</v>
      </c>
      <c r="D12" s="41">
        <f>+B12*C12</f>
        <v>10000</v>
      </c>
      <c r="E12" s="59">
        <v>0.92</v>
      </c>
      <c r="F12" s="40">
        <f t="shared" ref="F12:F13" si="0">+D12*E12</f>
        <v>9200</v>
      </c>
      <c r="G12" s="9">
        <f>G11</f>
        <v>20</v>
      </c>
      <c r="H12" s="9">
        <f t="shared" ref="H12:H13" si="1">+F12*G12</f>
        <v>184000</v>
      </c>
    </row>
    <row r="13" spans="2:8" ht="15" thickBot="1" x14ac:dyDescent="0.35">
      <c r="B13">
        <f>B12</f>
        <v>40000</v>
      </c>
      <c r="C13" s="86">
        <v>0.15</v>
      </c>
      <c r="D13" s="87">
        <f>+B13*C13</f>
        <v>6000</v>
      </c>
      <c r="E13" s="59">
        <v>0.98</v>
      </c>
      <c r="F13" s="40">
        <f t="shared" si="0"/>
        <v>5880</v>
      </c>
      <c r="G13" s="9">
        <f>G12</f>
        <v>20</v>
      </c>
      <c r="H13" s="85">
        <f t="shared" si="1"/>
        <v>117600</v>
      </c>
    </row>
    <row r="14" spans="2:8" x14ac:dyDescent="0.3">
      <c r="D14" s="54">
        <f>SUM(D11:D13)</f>
        <v>40000</v>
      </c>
      <c r="H14" s="9">
        <f>SUM(H11:H13)</f>
        <v>733600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DA418-42C7-4370-8C53-0FC84A5AC6EF}">
  <dimension ref="A1:J18"/>
  <sheetViews>
    <sheetView topLeftCell="B3" zoomScale="140" zoomScaleNormal="140" workbookViewId="0">
      <selection activeCell="J8" sqref="J8"/>
    </sheetView>
  </sheetViews>
  <sheetFormatPr baseColWidth="10" defaultRowHeight="14.4" x14ac:dyDescent="0.3"/>
  <cols>
    <col min="2" max="2" width="14.88671875" customWidth="1"/>
    <col min="7" max="7" width="8.88671875" customWidth="1"/>
    <col min="8" max="8" width="35.5546875" customWidth="1"/>
    <col min="9" max="9" width="11.6640625" bestFit="1" customWidth="1"/>
    <col min="10" max="10" width="12.21875" bestFit="1" customWidth="1"/>
  </cols>
  <sheetData>
    <row r="1" spans="4:10" x14ac:dyDescent="0.3">
      <c r="H1" s="1" t="s">
        <v>99</v>
      </c>
    </row>
    <row r="2" spans="4:10" x14ac:dyDescent="0.3">
      <c r="H2" s="29" t="s">
        <v>91</v>
      </c>
      <c r="I2" s="4"/>
      <c r="J2" s="4">
        <v>7000</v>
      </c>
    </row>
    <row r="3" spans="4:10" x14ac:dyDescent="0.3">
      <c r="H3" s="29" t="s">
        <v>92</v>
      </c>
      <c r="I3" s="4"/>
      <c r="J3" s="4">
        <v>105000</v>
      </c>
    </row>
    <row r="4" spans="4:10" x14ac:dyDescent="0.3">
      <c r="H4" s="29" t="s">
        <v>100</v>
      </c>
      <c r="I4" s="4"/>
      <c r="J4" s="4">
        <f>+J2+J3</f>
        <v>112000</v>
      </c>
    </row>
    <row r="5" spans="4:10" x14ac:dyDescent="0.3">
      <c r="H5" s="29" t="s">
        <v>93</v>
      </c>
      <c r="I5" s="4"/>
      <c r="J5" s="4">
        <v>32000</v>
      </c>
    </row>
    <row r="6" spans="4:10" ht="15.6" x14ac:dyDescent="0.3">
      <c r="H6" s="88" t="s">
        <v>101</v>
      </c>
      <c r="I6" s="91"/>
      <c r="J6" s="91">
        <f>+J4-J5</f>
        <v>80000</v>
      </c>
    </row>
    <row r="7" spans="4:10" x14ac:dyDescent="0.3">
      <c r="H7" s="89" t="s">
        <v>94</v>
      </c>
      <c r="I7" s="91"/>
      <c r="J7" s="91">
        <v>200000</v>
      </c>
    </row>
    <row r="8" spans="4:10" x14ac:dyDescent="0.3">
      <c r="H8" s="90" t="s">
        <v>103</v>
      </c>
      <c r="I8" s="91"/>
      <c r="J8" s="91">
        <f>SUM(I9:I11)</f>
        <v>185000</v>
      </c>
    </row>
    <row r="9" spans="4:10" x14ac:dyDescent="0.3">
      <c r="H9" s="29" t="s">
        <v>95</v>
      </c>
      <c r="I9" s="4">
        <v>50000</v>
      </c>
      <c r="J9" s="4"/>
    </row>
    <row r="10" spans="4:10" x14ac:dyDescent="0.3">
      <c r="H10" s="29" t="s">
        <v>96</v>
      </c>
      <c r="I10" s="4">
        <v>65000</v>
      </c>
      <c r="J10" s="4"/>
    </row>
    <row r="11" spans="4:10" x14ac:dyDescent="0.3">
      <c r="H11" s="29" t="s">
        <v>102</v>
      </c>
      <c r="I11" s="4">
        <v>70000</v>
      </c>
      <c r="J11" s="4"/>
    </row>
    <row r="12" spans="4:10" ht="15.6" x14ac:dyDescent="0.3">
      <c r="H12" s="32" t="s">
        <v>97</v>
      </c>
      <c r="I12" s="4"/>
      <c r="J12" s="4">
        <f>+J6+J7+J8</f>
        <v>465000</v>
      </c>
    </row>
    <row r="13" spans="4:10" x14ac:dyDescent="0.3">
      <c r="H13" s="29" t="s">
        <v>104</v>
      </c>
      <c r="I13" s="41"/>
      <c r="J13" s="4">
        <f>+G17</f>
        <v>75000</v>
      </c>
    </row>
    <row r="14" spans="4:10" x14ac:dyDescent="0.3">
      <c r="H14" s="29" t="s">
        <v>105</v>
      </c>
      <c r="I14" s="41"/>
      <c r="J14" s="4">
        <f>+G18</f>
        <v>40000</v>
      </c>
    </row>
    <row r="15" spans="4:10" x14ac:dyDescent="0.3">
      <c r="H15" s="31" t="s">
        <v>98</v>
      </c>
      <c r="I15" s="41"/>
      <c r="J15" s="6">
        <f>+J12+J13-J14</f>
        <v>500000</v>
      </c>
    </row>
    <row r="16" spans="4:10" x14ac:dyDescent="0.3">
      <c r="D16" t="s">
        <v>210</v>
      </c>
      <c r="E16" t="s">
        <v>211</v>
      </c>
      <c r="H16" s="29" t="s">
        <v>12</v>
      </c>
      <c r="I16" s="41"/>
      <c r="J16" s="4">
        <f>2000*100</f>
        <v>200000</v>
      </c>
    </row>
    <row r="17" spans="1:10" x14ac:dyDescent="0.3">
      <c r="A17" t="s">
        <v>208</v>
      </c>
      <c r="C17">
        <v>1000</v>
      </c>
      <c r="D17" s="59">
        <v>0.75</v>
      </c>
      <c r="E17">
        <f>+C17*D17</f>
        <v>750</v>
      </c>
      <c r="F17">
        <v>100</v>
      </c>
      <c r="G17" s="4">
        <f>+E17*F17</f>
        <v>75000</v>
      </c>
      <c r="H17" s="29" t="s">
        <v>106</v>
      </c>
      <c r="I17" s="41"/>
      <c r="J17" s="4">
        <f>1000*100</f>
        <v>100000</v>
      </c>
    </row>
    <row r="18" spans="1:10" x14ac:dyDescent="0.3">
      <c r="A18" t="s">
        <v>209</v>
      </c>
      <c r="C18">
        <v>800</v>
      </c>
      <c r="D18" s="59">
        <v>0.5</v>
      </c>
      <c r="E18">
        <f>+C18*D18</f>
        <v>400</v>
      </c>
      <c r="F18">
        <v>100</v>
      </c>
      <c r="G18" s="4">
        <f>+E18*F18</f>
        <v>40000</v>
      </c>
      <c r="H18" s="29" t="s">
        <v>107</v>
      </c>
      <c r="I18" s="41"/>
      <c r="J18" s="6">
        <f>+J15+J16-J17</f>
        <v>600000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52FD3-20B1-4391-9843-D0C26977C3E1}">
  <dimension ref="A1:AJ74"/>
  <sheetViews>
    <sheetView topLeftCell="A61" zoomScale="160" zoomScaleNormal="160" workbookViewId="0">
      <selection activeCell="D66" sqref="D66"/>
    </sheetView>
  </sheetViews>
  <sheetFormatPr baseColWidth="10" defaultRowHeight="14.4" x14ac:dyDescent="0.3"/>
  <cols>
    <col min="1" max="1" width="37.33203125" customWidth="1"/>
    <col min="30" max="30" width="8.6640625" customWidth="1"/>
    <col min="32" max="32" width="7.5546875" customWidth="1"/>
    <col min="33" max="33" width="9.109375" customWidth="1"/>
    <col min="34" max="34" width="7.21875" customWidth="1"/>
    <col min="35" max="35" width="9.21875" customWidth="1"/>
    <col min="36" max="36" width="9" customWidth="1"/>
  </cols>
  <sheetData>
    <row r="1" spans="1:6" ht="28.8" x14ac:dyDescent="0.55000000000000004">
      <c r="A1" s="92" t="s">
        <v>212</v>
      </c>
    </row>
    <row r="2" spans="1:6" ht="28.8" x14ac:dyDescent="0.55000000000000004">
      <c r="A2" s="92" t="s">
        <v>213</v>
      </c>
    </row>
    <row r="3" spans="1:6" ht="28.8" x14ac:dyDescent="0.55000000000000004">
      <c r="A3" s="94" t="s">
        <v>214</v>
      </c>
      <c r="B3" s="95"/>
      <c r="C3" s="95"/>
      <c r="D3" s="95"/>
      <c r="E3" s="95"/>
      <c r="F3" s="95"/>
    </row>
    <row r="4" spans="1:6" ht="21" x14ac:dyDescent="0.4">
      <c r="A4" s="93" t="s">
        <v>142</v>
      </c>
    </row>
    <row r="5" spans="1:6" ht="21" x14ac:dyDescent="0.4">
      <c r="A5" s="93" t="s">
        <v>143</v>
      </c>
    </row>
    <row r="6" spans="1:6" ht="21" x14ac:dyDescent="0.4">
      <c r="A6" s="93" t="s">
        <v>144</v>
      </c>
    </row>
    <row r="7" spans="1:6" ht="21" x14ac:dyDescent="0.4">
      <c r="A7" s="93" t="s">
        <v>145</v>
      </c>
    </row>
    <row r="39" spans="1:36" ht="15" thickBot="1" x14ac:dyDescent="0.35">
      <c r="H39" s="63" t="s">
        <v>165</v>
      </c>
      <c r="I39" s="63"/>
      <c r="J39" s="100"/>
      <c r="K39" s="100"/>
      <c r="L39" s="100"/>
      <c r="M39" s="100"/>
      <c r="N39" s="100"/>
      <c r="O39" s="100"/>
      <c r="P39" s="100"/>
      <c r="Q39" s="100"/>
      <c r="R39" s="100"/>
      <c r="Z39" s="118" t="s">
        <v>224</v>
      </c>
      <c r="AA39" s="63"/>
      <c r="AB39" s="100"/>
      <c r="AC39" s="100"/>
      <c r="AD39" s="100"/>
      <c r="AE39" s="100"/>
      <c r="AF39" s="100"/>
      <c r="AG39" s="100"/>
      <c r="AH39" s="100"/>
      <c r="AI39" s="100"/>
      <c r="AJ39" s="100"/>
    </row>
    <row r="40" spans="1:36" x14ac:dyDescent="0.3">
      <c r="H40" s="63"/>
      <c r="I40" s="99"/>
      <c r="J40" s="133" t="s">
        <v>155</v>
      </c>
      <c r="K40" s="134"/>
      <c r="L40" s="135"/>
      <c r="M40" s="133" t="s">
        <v>156</v>
      </c>
      <c r="N40" s="134"/>
      <c r="O40" s="135"/>
      <c r="P40" s="133" t="s">
        <v>157</v>
      </c>
      <c r="Q40" s="134"/>
      <c r="R40" s="135"/>
      <c r="Z40" s="63"/>
      <c r="AA40" s="99"/>
      <c r="AB40" s="133" t="s">
        <v>155</v>
      </c>
      <c r="AC40" s="134"/>
      <c r="AD40" s="135"/>
      <c r="AE40" s="133" t="s">
        <v>156</v>
      </c>
      <c r="AF40" s="134"/>
      <c r="AG40" s="135"/>
      <c r="AH40" s="133" t="s">
        <v>157</v>
      </c>
      <c r="AI40" s="134"/>
      <c r="AJ40" s="135"/>
    </row>
    <row r="41" spans="1:36" x14ac:dyDescent="0.3">
      <c r="H41" s="63" t="s">
        <v>150</v>
      </c>
      <c r="I41" s="99" t="s">
        <v>151</v>
      </c>
      <c r="J41" s="101" t="s">
        <v>152</v>
      </c>
      <c r="K41" s="63" t="s">
        <v>153</v>
      </c>
      <c r="L41" s="102" t="s">
        <v>154</v>
      </c>
      <c r="M41" s="101" t="s">
        <v>152</v>
      </c>
      <c r="N41" s="63" t="s">
        <v>153</v>
      </c>
      <c r="O41" s="102" t="s">
        <v>154</v>
      </c>
      <c r="P41" s="101" t="s">
        <v>152</v>
      </c>
      <c r="Q41" s="63" t="s">
        <v>153</v>
      </c>
      <c r="R41" s="102" t="s">
        <v>154</v>
      </c>
      <c r="Z41" s="63" t="s">
        <v>150</v>
      </c>
      <c r="AA41" s="99" t="s">
        <v>151</v>
      </c>
      <c r="AB41" s="101" t="s">
        <v>152</v>
      </c>
      <c r="AC41" s="63" t="s">
        <v>153</v>
      </c>
      <c r="AD41" s="102" t="s">
        <v>154</v>
      </c>
      <c r="AE41" s="101" t="s">
        <v>152</v>
      </c>
      <c r="AF41" s="63" t="s">
        <v>153</v>
      </c>
      <c r="AG41" s="102" t="s">
        <v>154</v>
      </c>
      <c r="AH41" s="101" t="s">
        <v>152</v>
      </c>
      <c r="AI41" s="63" t="s">
        <v>153</v>
      </c>
      <c r="AJ41" s="102" t="s">
        <v>154</v>
      </c>
    </row>
    <row r="42" spans="1:36" x14ac:dyDescent="0.3">
      <c r="H42" s="63"/>
      <c r="I42" s="99"/>
      <c r="J42" s="101"/>
      <c r="K42" s="63"/>
      <c r="L42" s="102"/>
      <c r="M42" s="101"/>
      <c r="N42" s="63"/>
      <c r="O42" s="102"/>
      <c r="P42" s="101"/>
      <c r="Q42" s="63"/>
      <c r="R42" s="102"/>
      <c r="Z42" s="63"/>
      <c r="AA42" s="99"/>
      <c r="AB42" s="101"/>
      <c r="AC42" s="63"/>
      <c r="AD42" s="102"/>
      <c r="AE42" s="101"/>
      <c r="AF42" s="63"/>
      <c r="AG42" s="102"/>
      <c r="AH42" s="101"/>
      <c r="AI42" s="63"/>
      <c r="AJ42" s="102"/>
    </row>
    <row r="43" spans="1:36" x14ac:dyDescent="0.3">
      <c r="H43" s="63" t="s">
        <v>170</v>
      </c>
      <c r="I43" s="99" t="s">
        <v>159</v>
      </c>
      <c r="J43" s="101">
        <v>100</v>
      </c>
      <c r="K43" s="63">
        <v>5</v>
      </c>
      <c r="L43" s="107">
        <f>+J43*K43</f>
        <v>500</v>
      </c>
      <c r="M43" s="101"/>
      <c r="N43" s="63"/>
      <c r="O43" s="102"/>
      <c r="P43" s="101">
        <f>+J43</f>
        <v>100</v>
      </c>
      <c r="Q43" s="63">
        <v>5</v>
      </c>
      <c r="R43" s="102">
        <f>+P43*Q43</f>
        <v>500</v>
      </c>
      <c r="Z43" s="63" t="s">
        <v>170</v>
      </c>
      <c r="AA43" s="99" t="s">
        <v>159</v>
      </c>
      <c r="AB43" s="101">
        <v>100</v>
      </c>
      <c r="AC43" s="63">
        <v>5</v>
      </c>
      <c r="AD43" s="107">
        <f>+AB43*AC43</f>
        <v>500</v>
      </c>
      <c r="AE43" s="101"/>
      <c r="AF43" s="63"/>
      <c r="AG43" s="102"/>
      <c r="AH43" s="101">
        <f>+AB43</f>
        <v>100</v>
      </c>
      <c r="AI43" s="63">
        <v>5</v>
      </c>
      <c r="AJ43" s="102">
        <f>+AH43*AI43</f>
        <v>500</v>
      </c>
    </row>
    <row r="44" spans="1:36" ht="23.4" x14ac:dyDescent="0.45">
      <c r="H44" s="63" t="s">
        <v>218</v>
      </c>
      <c r="I44" s="99" t="s">
        <v>219</v>
      </c>
      <c r="J44" s="101">
        <v>150</v>
      </c>
      <c r="K44" s="63">
        <v>6</v>
      </c>
      <c r="L44" s="107">
        <f>+J44*K44</f>
        <v>900</v>
      </c>
      <c r="M44" s="101"/>
      <c r="N44" s="63"/>
      <c r="O44" s="102"/>
      <c r="P44" s="109">
        <f>+P43+J44</f>
        <v>250</v>
      </c>
      <c r="Q44" s="111">
        <f>+R44/P44</f>
        <v>5.6</v>
      </c>
      <c r="R44" s="108">
        <f>+R43+L44</f>
        <v>1400</v>
      </c>
      <c r="Z44" s="63" t="s">
        <v>218</v>
      </c>
      <c r="AA44" s="99" t="s">
        <v>219</v>
      </c>
      <c r="AB44" s="101">
        <v>150</v>
      </c>
      <c r="AC44" s="63">
        <v>6</v>
      </c>
      <c r="AD44" s="107">
        <f>+AB44*AC44</f>
        <v>900</v>
      </c>
      <c r="AE44" s="101"/>
      <c r="AF44" s="63"/>
      <c r="AG44" s="102"/>
      <c r="AH44" s="101">
        <v>150</v>
      </c>
      <c r="AI44" s="63">
        <v>6</v>
      </c>
      <c r="AJ44" s="102">
        <f>+AH44*AI44</f>
        <v>900</v>
      </c>
    </row>
    <row r="45" spans="1:36" x14ac:dyDescent="0.3">
      <c r="H45" s="63"/>
      <c r="I45" s="99"/>
      <c r="J45" s="101"/>
      <c r="K45" s="63"/>
      <c r="L45" s="102"/>
      <c r="M45" s="101">
        <v>150</v>
      </c>
      <c r="N45" s="63">
        <v>5.6</v>
      </c>
      <c r="O45" s="113">
        <f>+M45*N45</f>
        <v>840</v>
      </c>
      <c r="P45" s="101">
        <f>+P44-M45</f>
        <v>100</v>
      </c>
      <c r="Q45" s="63">
        <f>+R45/P45</f>
        <v>5.6</v>
      </c>
      <c r="R45" s="112">
        <f>+R44-O45</f>
        <v>560</v>
      </c>
      <c r="Z45" s="63"/>
      <c r="AA45" s="99"/>
      <c r="AB45" s="101"/>
      <c r="AC45" s="63"/>
      <c r="AD45" s="102"/>
      <c r="AE45" s="101">
        <v>100</v>
      </c>
      <c r="AF45" s="63">
        <v>5</v>
      </c>
      <c r="AG45" s="113">
        <f>+AE45*AF45</f>
        <v>500</v>
      </c>
      <c r="AH45" s="101"/>
      <c r="AI45" s="63"/>
      <c r="AJ45" s="112"/>
    </row>
    <row r="46" spans="1:36" x14ac:dyDescent="0.3">
      <c r="H46" s="63"/>
      <c r="I46" s="99"/>
      <c r="J46" s="101"/>
      <c r="K46" s="63"/>
      <c r="L46" s="102"/>
      <c r="M46" s="101"/>
      <c r="N46" s="63"/>
      <c r="O46" s="102"/>
      <c r="P46" s="101"/>
      <c r="Q46" s="63"/>
      <c r="R46" s="102"/>
      <c r="U46" s="1" t="s">
        <v>223</v>
      </c>
      <c r="Z46" s="63"/>
      <c r="AA46" s="99"/>
      <c r="AB46" s="101"/>
      <c r="AC46" s="63"/>
      <c r="AD46" s="102"/>
      <c r="AE46" s="101">
        <v>50</v>
      </c>
      <c r="AF46" s="63">
        <v>6</v>
      </c>
      <c r="AG46" s="106">
        <f>+AE46*AF46</f>
        <v>300</v>
      </c>
      <c r="AH46" s="101">
        <f>+AH44-AE46</f>
        <v>100</v>
      </c>
      <c r="AI46" s="63">
        <v>6</v>
      </c>
      <c r="AJ46" s="102">
        <f>+AH46*AI46</f>
        <v>600</v>
      </c>
    </row>
    <row r="47" spans="1:36" x14ac:dyDescent="0.3">
      <c r="A47" t="s">
        <v>215</v>
      </c>
      <c r="B47" s="63" t="s">
        <v>161</v>
      </c>
      <c r="C47" s="63"/>
      <c r="D47" s="63"/>
      <c r="E47" s="63"/>
      <c r="H47" s="63"/>
      <c r="I47" s="99"/>
      <c r="J47" s="101"/>
      <c r="K47" s="63"/>
      <c r="L47" s="102"/>
      <c r="M47" s="101"/>
      <c r="N47" s="63"/>
      <c r="O47" s="102"/>
      <c r="P47" s="101"/>
      <c r="Q47" s="63"/>
      <c r="R47" s="102"/>
      <c r="Z47" s="63"/>
      <c r="AA47" s="99"/>
      <c r="AB47" s="101"/>
      <c r="AC47" s="63"/>
      <c r="AD47" s="102"/>
      <c r="AE47" s="101"/>
      <c r="AF47" s="63"/>
      <c r="AG47" s="102"/>
      <c r="AH47" s="101"/>
      <c r="AI47" s="63"/>
      <c r="AJ47" s="102"/>
    </row>
    <row r="48" spans="1:36" x14ac:dyDescent="0.3">
      <c r="B48" s="63"/>
      <c r="C48" s="63"/>
      <c r="D48" s="63" t="s">
        <v>146</v>
      </c>
      <c r="E48" s="63" t="s">
        <v>147</v>
      </c>
      <c r="H48" s="63"/>
      <c r="I48" s="99"/>
      <c r="J48" s="101"/>
      <c r="K48" s="63"/>
      <c r="L48" s="102"/>
      <c r="M48" s="101"/>
      <c r="N48" s="63"/>
      <c r="O48" s="102"/>
      <c r="P48" s="101"/>
      <c r="Q48" s="63"/>
      <c r="R48" s="102"/>
      <c r="W48" t="s">
        <v>146</v>
      </c>
      <c r="X48" t="s">
        <v>147</v>
      </c>
      <c r="Z48" s="63"/>
      <c r="AA48" s="99"/>
      <c r="AB48" s="101"/>
      <c r="AC48" s="63"/>
      <c r="AD48" s="102"/>
      <c r="AE48" s="101"/>
      <c r="AF48" s="63"/>
      <c r="AG48" s="102"/>
      <c r="AH48" s="101"/>
      <c r="AI48" s="63"/>
      <c r="AJ48" s="102"/>
    </row>
    <row r="49" spans="1:36" x14ac:dyDescent="0.3">
      <c r="A49" s="96" t="s">
        <v>216</v>
      </c>
      <c r="B49" s="110" t="s">
        <v>148</v>
      </c>
      <c r="C49" s="110"/>
      <c r="D49" s="119">
        <f>100*5</f>
        <v>500</v>
      </c>
      <c r="E49" s="63"/>
      <c r="H49" s="63"/>
      <c r="I49" s="99"/>
      <c r="J49" s="101"/>
      <c r="K49" s="63"/>
      <c r="L49" s="102"/>
      <c r="M49" s="101"/>
      <c r="N49" s="63"/>
      <c r="O49" s="102"/>
      <c r="P49" s="101"/>
      <c r="Q49" s="63"/>
      <c r="R49" s="102"/>
      <c r="U49" s="82" t="s">
        <v>148</v>
      </c>
      <c r="V49" s="82"/>
      <c r="W49" s="98">
        <f>100*5</f>
        <v>500</v>
      </c>
      <c r="Z49" s="63"/>
      <c r="AA49" s="99"/>
      <c r="AB49" s="101"/>
      <c r="AC49" s="63"/>
      <c r="AD49" s="102"/>
      <c r="AE49" s="101"/>
      <c r="AF49" s="63"/>
      <c r="AG49" s="102"/>
      <c r="AH49" s="101"/>
      <c r="AI49" s="63"/>
      <c r="AJ49" s="102"/>
    </row>
    <row r="50" spans="1:36" ht="15" thickBot="1" x14ac:dyDescent="0.35">
      <c r="B50" s="63" t="s">
        <v>149</v>
      </c>
      <c r="C50" s="63"/>
      <c r="D50" s="114">
        <f>+D49*0.15</f>
        <v>75</v>
      </c>
      <c r="E50" s="63"/>
      <c r="H50" s="63"/>
      <c r="I50" s="99"/>
      <c r="J50" s="103"/>
      <c r="K50" s="104"/>
      <c r="L50" s="105"/>
      <c r="M50" s="103"/>
      <c r="N50" s="104"/>
      <c r="O50" s="105"/>
      <c r="P50" s="103"/>
      <c r="Q50" s="104"/>
      <c r="R50" s="105"/>
      <c r="U50" t="s">
        <v>149</v>
      </c>
      <c r="W50" s="3">
        <f>+W49*0.15</f>
        <v>75</v>
      </c>
      <c r="Z50" s="63"/>
      <c r="AA50" s="99"/>
      <c r="AB50" s="103"/>
      <c r="AC50" s="104"/>
      <c r="AD50" s="105"/>
      <c r="AE50" s="103"/>
      <c r="AF50" s="104"/>
      <c r="AG50" s="105"/>
      <c r="AH50" s="103"/>
      <c r="AI50" s="104"/>
      <c r="AJ50" s="105"/>
    </row>
    <row r="51" spans="1:36" x14ac:dyDescent="0.3">
      <c r="B51" s="120" t="s">
        <v>168</v>
      </c>
      <c r="C51" s="120"/>
      <c r="D51" s="63"/>
      <c r="E51" s="63">
        <f>+D49*0.02</f>
        <v>10</v>
      </c>
      <c r="U51" s="97" t="s">
        <v>168</v>
      </c>
      <c r="V51" s="97"/>
      <c r="X51">
        <f>+W49*0.02</f>
        <v>10</v>
      </c>
    </row>
    <row r="52" spans="1:36" x14ac:dyDescent="0.3">
      <c r="B52" s="63" t="s">
        <v>163</v>
      </c>
      <c r="C52" s="63"/>
      <c r="D52" s="115"/>
      <c r="E52" s="115">
        <f>+D49+D50-E51</f>
        <v>565</v>
      </c>
      <c r="U52" t="s">
        <v>163</v>
      </c>
      <c r="W52" s="9"/>
      <c r="X52" s="9">
        <f>+W49+W50-X51</f>
        <v>565</v>
      </c>
    </row>
    <row r="53" spans="1:36" x14ac:dyDescent="0.3">
      <c r="B53" s="63"/>
      <c r="C53" s="63"/>
      <c r="D53" s="63"/>
      <c r="E53" s="63"/>
    </row>
    <row r="54" spans="1:36" ht="28.8" x14ac:dyDescent="0.3">
      <c r="A54" s="70" t="s">
        <v>160</v>
      </c>
      <c r="B54" s="110" t="s">
        <v>162</v>
      </c>
      <c r="C54" s="110"/>
      <c r="D54" s="110">
        <f>300*3</f>
        <v>900</v>
      </c>
      <c r="E54" s="63"/>
      <c r="U54" s="82" t="s">
        <v>162</v>
      </c>
      <c r="V54" s="82"/>
      <c r="W54" s="82">
        <f>300*3</f>
        <v>900</v>
      </c>
    </row>
    <row r="55" spans="1:36" x14ac:dyDescent="0.3">
      <c r="B55" s="63" t="s">
        <v>149</v>
      </c>
      <c r="C55" s="63"/>
      <c r="D55" s="63">
        <f>+D54*0.15</f>
        <v>135</v>
      </c>
      <c r="E55" s="63"/>
      <c r="H55" s="63" t="s">
        <v>166</v>
      </c>
      <c r="I55" s="63"/>
      <c r="J55" s="63"/>
      <c r="K55" s="63"/>
      <c r="L55" s="63"/>
      <c r="M55" s="63"/>
      <c r="N55" s="63"/>
      <c r="O55" s="63"/>
      <c r="P55" s="63"/>
      <c r="Q55" s="63"/>
      <c r="R55" s="63"/>
      <c r="U55" t="s">
        <v>149</v>
      </c>
      <c r="W55">
        <f>+W54*0.15</f>
        <v>135</v>
      </c>
      <c r="Z55" s="63" t="s">
        <v>225</v>
      </c>
      <c r="AA55" s="63"/>
      <c r="AB55" s="63"/>
      <c r="AC55" s="63"/>
      <c r="AD55" s="63"/>
      <c r="AE55" s="63"/>
      <c r="AF55" s="63"/>
      <c r="AG55" s="63"/>
      <c r="AH55" s="63"/>
      <c r="AI55" s="63"/>
      <c r="AJ55" s="63"/>
    </row>
    <row r="56" spans="1:36" x14ac:dyDescent="0.3">
      <c r="B56" s="63" t="s">
        <v>168</v>
      </c>
      <c r="C56" s="63"/>
      <c r="D56" s="63"/>
      <c r="E56" s="63">
        <f>+D54*0.02</f>
        <v>18</v>
      </c>
      <c r="H56" s="63"/>
      <c r="I56" s="63"/>
      <c r="J56" s="136" t="s">
        <v>155</v>
      </c>
      <c r="K56" s="136"/>
      <c r="L56" s="136"/>
      <c r="M56" s="136" t="s">
        <v>156</v>
      </c>
      <c r="N56" s="136"/>
      <c r="O56" s="136"/>
      <c r="P56" s="136" t="s">
        <v>157</v>
      </c>
      <c r="Q56" s="136"/>
      <c r="R56" s="136"/>
      <c r="U56" t="s">
        <v>168</v>
      </c>
      <c r="X56">
        <f>+W54*0.02</f>
        <v>18</v>
      </c>
      <c r="Z56" s="63"/>
      <c r="AA56" s="63"/>
      <c r="AB56" s="136" t="s">
        <v>155</v>
      </c>
      <c r="AC56" s="136"/>
      <c r="AD56" s="136"/>
      <c r="AE56" s="136" t="s">
        <v>156</v>
      </c>
      <c r="AF56" s="136"/>
      <c r="AG56" s="136"/>
      <c r="AH56" s="136" t="s">
        <v>157</v>
      </c>
      <c r="AI56" s="136"/>
      <c r="AJ56" s="136"/>
    </row>
    <row r="57" spans="1:36" x14ac:dyDescent="0.3">
      <c r="B57" s="63" t="s">
        <v>164</v>
      </c>
      <c r="C57" s="63"/>
      <c r="D57" s="63"/>
      <c r="E57" s="63">
        <f>+D54+D55-E56</f>
        <v>1017</v>
      </c>
      <c r="H57" s="63" t="s">
        <v>150</v>
      </c>
      <c r="I57" s="63" t="s">
        <v>151</v>
      </c>
      <c r="J57" s="63" t="s">
        <v>152</v>
      </c>
      <c r="K57" s="63" t="s">
        <v>153</v>
      </c>
      <c r="L57" s="63" t="s">
        <v>154</v>
      </c>
      <c r="M57" s="63" t="s">
        <v>152</v>
      </c>
      <c r="N57" s="63" t="s">
        <v>153</v>
      </c>
      <c r="O57" s="63" t="s">
        <v>154</v>
      </c>
      <c r="P57" s="63" t="s">
        <v>152</v>
      </c>
      <c r="Q57" s="63" t="s">
        <v>153</v>
      </c>
      <c r="R57" s="63" t="s">
        <v>154</v>
      </c>
      <c r="U57" t="s">
        <v>164</v>
      </c>
      <c r="X57">
        <f>+W54+W55-X56</f>
        <v>1017</v>
      </c>
      <c r="Z57" s="63" t="s">
        <v>150</v>
      </c>
      <c r="AA57" s="63" t="s">
        <v>151</v>
      </c>
      <c r="AB57" s="63" t="s">
        <v>152</v>
      </c>
      <c r="AC57" s="63" t="s">
        <v>153</v>
      </c>
      <c r="AD57" s="63" t="s">
        <v>154</v>
      </c>
      <c r="AE57" s="63" t="s">
        <v>152</v>
      </c>
      <c r="AF57" s="63" t="s">
        <v>153</v>
      </c>
      <c r="AG57" s="63" t="s">
        <v>154</v>
      </c>
      <c r="AH57" s="63" t="s">
        <v>152</v>
      </c>
      <c r="AI57" s="63" t="s">
        <v>153</v>
      </c>
      <c r="AJ57" s="63" t="s">
        <v>154</v>
      </c>
    </row>
    <row r="58" spans="1:36" x14ac:dyDescent="0.3">
      <c r="B58" s="63"/>
      <c r="C58" s="63"/>
      <c r="D58" s="63"/>
      <c r="E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</row>
    <row r="59" spans="1:36" x14ac:dyDescent="0.3">
      <c r="B59" s="63"/>
      <c r="C59" s="63"/>
      <c r="D59" s="63"/>
      <c r="E59" s="63"/>
      <c r="H59" s="63" t="s">
        <v>158</v>
      </c>
      <c r="I59" s="63" t="s">
        <v>159</v>
      </c>
      <c r="J59" s="63">
        <v>300</v>
      </c>
      <c r="K59" s="63">
        <v>3</v>
      </c>
      <c r="L59" s="63">
        <f>+J59*K59</f>
        <v>900</v>
      </c>
      <c r="M59" s="63"/>
      <c r="N59" s="63"/>
      <c r="O59" s="63"/>
      <c r="P59" s="63">
        <f>+J59</f>
        <v>300</v>
      </c>
      <c r="Q59" s="114">
        <v>3</v>
      </c>
      <c r="R59" s="114">
        <f>+P59*Q59</f>
        <v>900</v>
      </c>
      <c r="Z59" s="63" t="s">
        <v>158</v>
      </c>
      <c r="AA59" s="63" t="s">
        <v>159</v>
      </c>
      <c r="AB59" s="63">
        <v>300</v>
      </c>
      <c r="AC59" s="63">
        <v>3</v>
      </c>
      <c r="AD59" s="63">
        <f>+AB59*AC59</f>
        <v>900</v>
      </c>
      <c r="AE59" s="63"/>
      <c r="AF59" s="63"/>
      <c r="AG59" s="63"/>
      <c r="AH59" s="63">
        <f>+AB59</f>
        <v>300</v>
      </c>
      <c r="AI59" s="114">
        <v>3</v>
      </c>
      <c r="AJ59" s="114">
        <f>+AH59*AI59</f>
        <v>900</v>
      </c>
    </row>
    <row r="60" spans="1:36" ht="43.2" x14ac:dyDescent="0.3">
      <c r="A60" s="60" t="s">
        <v>217</v>
      </c>
      <c r="B60" s="63" t="s">
        <v>148</v>
      </c>
      <c r="C60" s="63"/>
      <c r="D60" s="63">
        <f>150*6</f>
        <v>900</v>
      </c>
      <c r="E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115"/>
      <c r="U60" t="s">
        <v>148</v>
      </c>
      <c r="W60">
        <f>150*6</f>
        <v>900</v>
      </c>
      <c r="Z60" s="63"/>
      <c r="AA60" s="63"/>
      <c r="AB60" s="63"/>
      <c r="AC60" s="63"/>
      <c r="AD60" s="63"/>
      <c r="AE60" s="63">
        <v>100</v>
      </c>
      <c r="AF60" s="63">
        <v>3</v>
      </c>
      <c r="AG60" s="63">
        <f>+AE60*AF60</f>
        <v>300</v>
      </c>
      <c r="AH60" s="63"/>
      <c r="AI60" s="63"/>
      <c r="AJ60" s="115"/>
    </row>
    <row r="61" spans="1:36" x14ac:dyDescent="0.3">
      <c r="B61" s="63" t="s">
        <v>149</v>
      </c>
      <c r="C61" s="63"/>
      <c r="D61" s="63">
        <f>+D60*0.15</f>
        <v>135</v>
      </c>
      <c r="E61" s="63"/>
      <c r="H61" s="63"/>
      <c r="I61" s="63"/>
      <c r="J61" s="63"/>
      <c r="K61" s="63"/>
      <c r="L61" s="63"/>
      <c r="M61" s="63">
        <v>100</v>
      </c>
      <c r="N61" s="63">
        <v>3</v>
      </c>
      <c r="O61" s="114">
        <f>+M61*N61</f>
        <v>300</v>
      </c>
      <c r="P61" s="63"/>
      <c r="Q61" s="63"/>
      <c r="R61" s="63"/>
      <c r="U61" t="s">
        <v>149</v>
      </c>
      <c r="W61">
        <f>+W60*0.15</f>
        <v>135</v>
      </c>
      <c r="Z61" s="63"/>
      <c r="AA61" s="63"/>
      <c r="AB61" s="63"/>
      <c r="AC61" s="63"/>
      <c r="AD61" s="63"/>
      <c r="AE61" s="63"/>
      <c r="AF61" s="63"/>
      <c r="AG61" s="114"/>
      <c r="AH61" s="63"/>
      <c r="AI61" s="63"/>
      <c r="AJ61" s="63"/>
    </row>
    <row r="62" spans="1:36" x14ac:dyDescent="0.3">
      <c r="B62" s="63" t="s">
        <v>167</v>
      </c>
      <c r="C62" s="63"/>
      <c r="D62" s="63">
        <v>70</v>
      </c>
      <c r="E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U62" t="s">
        <v>167</v>
      </c>
      <c r="W62">
        <v>70</v>
      </c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</row>
    <row r="63" spans="1:36" x14ac:dyDescent="0.3">
      <c r="B63" s="120" t="s">
        <v>168</v>
      </c>
      <c r="C63" s="120"/>
      <c r="D63" s="120"/>
      <c r="E63" s="120">
        <f>+D60*0.02</f>
        <v>18</v>
      </c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U63" s="97" t="s">
        <v>168</v>
      </c>
      <c r="V63" s="97"/>
      <c r="W63" s="97"/>
      <c r="X63" s="97">
        <f>+W60*0.02</f>
        <v>18</v>
      </c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</row>
    <row r="64" spans="1:36" x14ac:dyDescent="0.3">
      <c r="B64" s="120" t="s">
        <v>169</v>
      </c>
      <c r="C64" s="120"/>
      <c r="D64" s="120"/>
      <c r="E64" s="120">
        <f>+D62*0.01</f>
        <v>0.70000000000000007</v>
      </c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U64" s="97" t="s">
        <v>169</v>
      </c>
      <c r="V64" s="97"/>
      <c r="W64" s="97"/>
      <c r="X64" s="97">
        <f>+W62*0.01</f>
        <v>0.70000000000000007</v>
      </c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</row>
    <row r="65" spans="1:36" x14ac:dyDescent="0.3">
      <c r="B65" s="63" t="s">
        <v>163</v>
      </c>
      <c r="C65" s="63"/>
      <c r="D65" s="63"/>
      <c r="E65" s="63">
        <f>+D60+D61+D62-E63-E64</f>
        <v>1086.3</v>
      </c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U65" t="s">
        <v>163</v>
      </c>
      <c r="X65">
        <f>+W60+W61+W62-X63-X64</f>
        <v>1086.3</v>
      </c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</row>
    <row r="66" spans="1:36" x14ac:dyDescent="0.3">
      <c r="B66" s="63"/>
      <c r="C66" s="63"/>
      <c r="D66" s="63"/>
      <c r="E66" s="63"/>
    </row>
    <row r="67" spans="1:36" ht="28.8" x14ac:dyDescent="0.3">
      <c r="A67" s="71" t="s">
        <v>171</v>
      </c>
      <c r="B67" s="121" t="s">
        <v>173</v>
      </c>
      <c r="C67" s="63"/>
      <c r="D67" s="63">
        <v>840</v>
      </c>
      <c r="E67" s="63"/>
      <c r="U67" s="116" t="s">
        <v>173</v>
      </c>
      <c r="W67">
        <v>800</v>
      </c>
    </row>
    <row r="68" spans="1:36" x14ac:dyDescent="0.3">
      <c r="A68" t="s">
        <v>220</v>
      </c>
      <c r="B68" s="63" t="s">
        <v>172</v>
      </c>
      <c r="C68" s="63"/>
      <c r="D68" s="63">
        <v>300</v>
      </c>
      <c r="E68" s="63"/>
      <c r="U68" t="s">
        <v>172</v>
      </c>
      <c r="W68">
        <v>300</v>
      </c>
    </row>
    <row r="69" spans="1:36" x14ac:dyDescent="0.3">
      <c r="B69" s="63" t="str">
        <f>+B60</f>
        <v xml:space="preserve">Inventario de MPD </v>
      </c>
      <c r="C69" s="63"/>
      <c r="D69" s="63"/>
      <c r="E69" s="63">
        <v>840</v>
      </c>
      <c r="U69" t="str">
        <f>+U60</f>
        <v xml:space="preserve">Inventario de MPD </v>
      </c>
      <c r="X69">
        <v>800</v>
      </c>
    </row>
    <row r="70" spans="1:36" x14ac:dyDescent="0.3">
      <c r="B70" s="63" t="str">
        <f>+B54</f>
        <v xml:space="preserve">Inventario de MPI </v>
      </c>
      <c r="C70" s="63"/>
      <c r="D70" s="63"/>
      <c r="E70" s="63">
        <v>300</v>
      </c>
      <c r="U70" t="str">
        <f>+U54</f>
        <v xml:space="preserve">Inventario de MPI </v>
      </c>
      <c r="X70">
        <v>300</v>
      </c>
    </row>
    <row r="73" spans="1:36" x14ac:dyDescent="0.3">
      <c r="A73" t="s">
        <v>221</v>
      </c>
    </row>
    <row r="74" spans="1:36" x14ac:dyDescent="0.3">
      <c r="A74" t="s">
        <v>222</v>
      </c>
    </row>
  </sheetData>
  <mergeCells count="12">
    <mergeCell ref="J40:L40"/>
    <mergeCell ref="M40:O40"/>
    <mergeCell ref="P40:R40"/>
    <mergeCell ref="J56:L56"/>
    <mergeCell ref="M56:O56"/>
    <mergeCell ref="P56:R56"/>
    <mergeCell ref="AB40:AD40"/>
    <mergeCell ref="AE40:AG40"/>
    <mergeCell ref="AH40:AJ40"/>
    <mergeCell ref="AB56:AD56"/>
    <mergeCell ref="AE56:AG56"/>
    <mergeCell ref="AH56:AJ56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656DD-DE07-4F78-A011-653B8149B0FC}">
  <dimension ref="A1:P59"/>
  <sheetViews>
    <sheetView topLeftCell="A44" zoomScale="170" zoomScaleNormal="170" workbookViewId="0">
      <selection activeCell="E46" sqref="E46"/>
    </sheetView>
  </sheetViews>
  <sheetFormatPr baseColWidth="10" defaultRowHeight="14.4" x14ac:dyDescent="0.3"/>
  <cols>
    <col min="1" max="1" width="14.77734375" customWidth="1"/>
    <col min="2" max="2" width="19.109375" customWidth="1"/>
  </cols>
  <sheetData>
    <row r="1" spans="1:6" ht="28.8" x14ac:dyDescent="0.55000000000000004">
      <c r="A1" s="92" t="s">
        <v>226</v>
      </c>
    </row>
    <row r="3" spans="1:6" x14ac:dyDescent="0.3">
      <c r="A3" s="1" t="s">
        <v>227</v>
      </c>
    </row>
    <row r="5" spans="1:6" x14ac:dyDescent="0.3">
      <c r="A5" s="1" t="s">
        <v>228</v>
      </c>
    </row>
    <row r="6" spans="1:6" x14ac:dyDescent="0.3">
      <c r="A6" t="s">
        <v>229</v>
      </c>
      <c r="B6" t="s">
        <v>233</v>
      </c>
      <c r="C6">
        <v>482</v>
      </c>
    </row>
    <row r="7" spans="1:6" x14ac:dyDescent="0.3">
      <c r="A7" t="s">
        <v>230</v>
      </c>
      <c r="B7" t="s">
        <v>235</v>
      </c>
    </row>
    <row r="8" spans="1:6" x14ac:dyDescent="0.3">
      <c r="A8" t="s">
        <v>231</v>
      </c>
      <c r="B8" t="s">
        <v>236</v>
      </c>
    </row>
    <row r="9" spans="1:6" x14ac:dyDescent="0.3">
      <c r="A9" t="s">
        <v>232</v>
      </c>
      <c r="B9" t="s">
        <v>234</v>
      </c>
    </row>
    <row r="11" spans="1:6" ht="15" thickBot="1" x14ac:dyDescent="0.35">
      <c r="B11" t="s">
        <v>237</v>
      </c>
      <c r="C11" s="122" t="s">
        <v>238</v>
      </c>
      <c r="D11">
        <v>482</v>
      </c>
      <c r="E11" s="40">
        <f>+D11/D12</f>
        <v>2.0083333333333333</v>
      </c>
    </row>
    <row r="12" spans="1:6" ht="15" thickTop="1" x14ac:dyDescent="0.3">
      <c r="C12">
        <v>240</v>
      </c>
      <c r="D12">
        <v>240</v>
      </c>
    </row>
    <row r="13" spans="1:6" x14ac:dyDescent="0.3">
      <c r="B13" t="s">
        <v>239</v>
      </c>
      <c r="C13" t="s">
        <v>240</v>
      </c>
      <c r="D13" s="72">
        <f>+E11</f>
        <v>2.0083333333333333</v>
      </c>
      <c r="E13" t="s">
        <v>241</v>
      </c>
      <c r="F13" s="40">
        <f>+D13*2</f>
        <v>4.0166666666666666</v>
      </c>
    </row>
    <row r="15" spans="1:6" x14ac:dyDescent="0.3">
      <c r="B15" t="s">
        <v>242</v>
      </c>
      <c r="C15" t="s">
        <v>243</v>
      </c>
      <c r="D15" s="72">
        <f>+D13</f>
        <v>2.0083333333333333</v>
      </c>
      <c r="E15">
        <v>1.5</v>
      </c>
      <c r="F15" s="72">
        <f>+D15*E15</f>
        <v>3.0125000000000002</v>
      </c>
    </row>
    <row r="16" spans="1:6" x14ac:dyDescent="0.3">
      <c r="C16" t="s">
        <v>240</v>
      </c>
      <c r="D16" s="72">
        <f>D15</f>
        <v>2.0083333333333333</v>
      </c>
      <c r="E16">
        <v>2</v>
      </c>
      <c r="F16" s="40">
        <f>+D16*E16</f>
        <v>4.0166666666666666</v>
      </c>
    </row>
    <row r="18" spans="1:16" x14ac:dyDescent="0.3">
      <c r="A18" s="1" t="s">
        <v>244</v>
      </c>
    </row>
    <row r="19" spans="1:16" x14ac:dyDescent="0.3">
      <c r="A19" s="1" t="s">
        <v>176</v>
      </c>
    </row>
    <row r="20" spans="1:16" x14ac:dyDescent="0.3">
      <c r="A20" s="1" t="s">
        <v>245</v>
      </c>
    </row>
    <row r="21" spans="1:16" x14ac:dyDescent="0.3">
      <c r="A21" t="s">
        <v>246</v>
      </c>
    </row>
    <row r="22" spans="1:16" x14ac:dyDescent="0.3">
      <c r="A22" t="s">
        <v>247</v>
      </c>
    </row>
    <row r="23" spans="1:16" x14ac:dyDescent="0.3">
      <c r="D23">
        <f>16*15</f>
        <v>240</v>
      </c>
    </row>
    <row r="25" spans="1:16" x14ac:dyDescent="0.3">
      <c r="A25" s="123" t="s">
        <v>248</v>
      </c>
    </row>
    <row r="26" spans="1:16" x14ac:dyDescent="0.3">
      <c r="A26" s="124" t="s">
        <v>249</v>
      </c>
      <c r="J26" s="125">
        <v>9.4500000000000001E-2</v>
      </c>
    </row>
    <row r="27" spans="1:16" x14ac:dyDescent="0.3">
      <c r="A27" s="1" t="s">
        <v>252</v>
      </c>
      <c r="B27" s="1" t="s">
        <v>253</v>
      </c>
      <c r="E27" t="s">
        <v>256</v>
      </c>
      <c r="I27" t="s">
        <v>189</v>
      </c>
      <c r="J27" t="s">
        <v>261</v>
      </c>
      <c r="K27" t="s">
        <v>189</v>
      </c>
    </row>
    <row r="28" spans="1:16" ht="15" thickBot="1" x14ac:dyDescent="0.35">
      <c r="A28" t="s">
        <v>264</v>
      </c>
      <c r="B28" t="s">
        <v>250</v>
      </c>
      <c r="C28" t="s">
        <v>238</v>
      </c>
      <c r="D28" t="s">
        <v>230</v>
      </c>
      <c r="E28" t="s">
        <v>257</v>
      </c>
      <c r="F28" t="s">
        <v>258</v>
      </c>
      <c r="G28" t="s">
        <v>259</v>
      </c>
      <c r="H28" t="s">
        <v>260</v>
      </c>
      <c r="I28" t="s">
        <v>228</v>
      </c>
      <c r="J28" t="s">
        <v>262</v>
      </c>
      <c r="K28" t="s">
        <v>263</v>
      </c>
      <c r="M28" t="s">
        <v>254</v>
      </c>
      <c r="N28" s="122" t="s">
        <v>229</v>
      </c>
      <c r="O28" s="122">
        <v>650</v>
      </c>
      <c r="P28" s="40">
        <f>+O28/O29</f>
        <v>2.7083333333333335</v>
      </c>
    </row>
    <row r="29" spans="1:16" ht="15" thickTop="1" x14ac:dyDescent="0.3">
      <c r="A29">
        <v>15</v>
      </c>
      <c r="B29" t="s">
        <v>251</v>
      </c>
      <c r="C29" s="4">
        <f>+A29*650</f>
        <v>9750</v>
      </c>
      <c r="D29">
        <f>240*5.42</f>
        <v>1300.8</v>
      </c>
      <c r="E29" s="6">
        <f>+C29+D29</f>
        <v>11050.8</v>
      </c>
      <c r="F29">
        <v>0</v>
      </c>
      <c r="G29">
        <v>0</v>
      </c>
      <c r="H29">
        <v>0</v>
      </c>
      <c r="I29" s="6">
        <f>+E29+F29+G29+H29</f>
        <v>11050.8</v>
      </c>
      <c r="J29">
        <f>+E29*J26</f>
        <v>1044.3006</v>
      </c>
      <c r="K29" s="6">
        <f>+I29-J29</f>
        <v>10006.499399999999</v>
      </c>
      <c r="N29">
        <v>240</v>
      </c>
      <c r="O29">
        <v>240</v>
      </c>
    </row>
    <row r="30" spans="1:16" x14ac:dyDescent="0.3">
      <c r="M30" t="s">
        <v>255</v>
      </c>
      <c r="N30" s="40">
        <f>+P28*2</f>
        <v>5.416666666666667</v>
      </c>
    </row>
    <row r="31" spans="1:16" x14ac:dyDescent="0.3">
      <c r="A31" t="s">
        <v>265</v>
      </c>
      <c r="F31" t="s">
        <v>261</v>
      </c>
    </row>
    <row r="32" spans="1:16" x14ac:dyDescent="0.3">
      <c r="B32" t="s">
        <v>267</v>
      </c>
      <c r="C32" t="s">
        <v>259</v>
      </c>
      <c r="D32" t="s">
        <v>268</v>
      </c>
      <c r="E32" t="s">
        <v>269</v>
      </c>
      <c r="F32" t="s">
        <v>270</v>
      </c>
      <c r="G32" t="s">
        <v>189</v>
      </c>
    </row>
    <row r="33" spans="1:8" x14ac:dyDescent="0.3">
      <c r="A33" t="s">
        <v>266</v>
      </c>
      <c r="B33">
        <f>+E29/12</f>
        <v>920.9</v>
      </c>
      <c r="C33">
        <f>+(482*15)/12</f>
        <v>602.5</v>
      </c>
      <c r="D33">
        <f>+E29/12</f>
        <v>920.9</v>
      </c>
      <c r="E33">
        <f>+E29/24</f>
        <v>460.45</v>
      </c>
      <c r="F33">
        <f>+E29*0.1215</f>
        <v>1342.6722</v>
      </c>
      <c r="G33" s="40">
        <f>SUM(B33:F33)</f>
        <v>4247.4222</v>
      </c>
    </row>
    <row r="34" spans="1:8" x14ac:dyDescent="0.3">
      <c r="H34" s="40"/>
    </row>
    <row r="36" spans="1:8" x14ac:dyDescent="0.3">
      <c r="B36" s="63" t="s">
        <v>271</v>
      </c>
      <c r="C36" s="63" t="s">
        <v>273</v>
      </c>
      <c r="D36" s="63" t="s">
        <v>175</v>
      </c>
    </row>
    <row r="37" spans="1:8" x14ac:dyDescent="0.3">
      <c r="B37" s="63" t="s">
        <v>272</v>
      </c>
      <c r="C37" s="126">
        <f>+E29</f>
        <v>11050.8</v>
      </c>
      <c r="D37" s="127">
        <f>+C37*12</f>
        <v>132609.59999999998</v>
      </c>
    </row>
    <row r="38" spans="1:8" x14ac:dyDescent="0.3">
      <c r="B38" s="63" t="s">
        <v>177</v>
      </c>
      <c r="C38" s="128">
        <f>+G33</f>
        <v>4247.4222</v>
      </c>
      <c r="D38" s="127">
        <f>+C38*12</f>
        <v>50969.066399999996</v>
      </c>
    </row>
    <row r="39" spans="1:8" x14ac:dyDescent="0.3">
      <c r="B39" s="63" t="s">
        <v>174</v>
      </c>
      <c r="C39" s="128">
        <f>+C37+C38</f>
        <v>15298.2222</v>
      </c>
      <c r="D39" s="128">
        <f>+D37+D38</f>
        <v>183578.66639999999</v>
      </c>
    </row>
    <row r="40" spans="1:8" ht="15" thickBot="1" x14ac:dyDescent="0.35"/>
    <row r="41" spans="1:8" x14ac:dyDescent="0.3">
      <c r="B41" s="19"/>
      <c r="C41" s="20"/>
      <c r="D41" s="20"/>
      <c r="E41" s="20"/>
      <c r="F41" s="20"/>
      <c r="G41" s="21"/>
    </row>
    <row r="42" spans="1:8" ht="15" thickBot="1" x14ac:dyDescent="0.35">
      <c r="B42" s="130" t="s">
        <v>178</v>
      </c>
      <c r="F42" s="129">
        <v>164205</v>
      </c>
      <c r="G42" s="131">
        <f>+F42/F43</f>
        <v>4.751302083333333</v>
      </c>
    </row>
    <row r="43" spans="1:8" ht="15.6" thickTop="1" thickBot="1" x14ac:dyDescent="0.35">
      <c r="B43" s="24"/>
      <c r="C43" s="25"/>
      <c r="D43" s="25"/>
      <c r="E43" s="25"/>
      <c r="F43" s="25">
        <f>2880*12</f>
        <v>34560</v>
      </c>
      <c r="G43" s="26"/>
    </row>
    <row r="44" spans="1:8" ht="15" thickBot="1" x14ac:dyDescent="0.35">
      <c r="B44" s="1" t="s">
        <v>274</v>
      </c>
    </row>
    <row r="45" spans="1:8" ht="29.4" thickBot="1" x14ac:dyDescent="0.35">
      <c r="B45" s="73" t="s">
        <v>179</v>
      </c>
      <c r="C45" s="74" t="s">
        <v>180</v>
      </c>
      <c r="D45" s="75" t="s">
        <v>181</v>
      </c>
      <c r="E45" s="74" t="s">
        <v>182</v>
      </c>
    </row>
    <row r="46" spans="1:8" ht="15" thickBot="1" x14ac:dyDescent="0.35">
      <c r="B46" s="76" t="s">
        <v>183</v>
      </c>
      <c r="C46" s="77">
        <v>450</v>
      </c>
      <c r="D46" s="78">
        <v>4.75</v>
      </c>
      <c r="E46" s="80">
        <f>+C46*D46</f>
        <v>2137.5</v>
      </c>
    </row>
    <row r="47" spans="1:8" ht="15" thickBot="1" x14ac:dyDescent="0.35">
      <c r="B47" s="76" t="s">
        <v>184</v>
      </c>
      <c r="C47" s="77">
        <v>430</v>
      </c>
      <c r="D47" s="78">
        <v>4.75</v>
      </c>
      <c r="E47" s="80">
        <f t="shared" ref="E47:E51" si="0">+C47*D47</f>
        <v>2042.5</v>
      </c>
    </row>
    <row r="48" spans="1:8" ht="15" thickBot="1" x14ac:dyDescent="0.35">
      <c r="B48" s="76" t="s">
        <v>185</v>
      </c>
      <c r="C48" s="77">
        <v>440</v>
      </c>
      <c r="D48" s="78">
        <v>4.75</v>
      </c>
      <c r="E48" s="80">
        <f t="shared" si="0"/>
        <v>2090</v>
      </c>
    </row>
    <row r="49" spans="2:5" ht="15" thickBot="1" x14ac:dyDescent="0.35">
      <c r="B49" s="76" t="s">
        <v>186</v>
      </c>
      <c r="C49" s="77">
        <v>460</v>
      </c>
      <c r="D49" s="78">
        <v>4.75</v>
      </c>
      <c r="E49" s="80">
        <f t="shared" si="0"/>
        <v>2185</v>
      </c>
    </row>
    <row r="50" spans="2:5" ht="15" thickBot="1" x14ac:dyDescent="0.35">
      <c r="B50" s="76" t="s">
        <v>187</v>
      </c>
      <c r="C50" s="77">
        <v>435</v>
      </c>
      <c r="D50" s="78">
        <v>4.75</v>
      </c>
      <c r="E50" s="80">
        <f t="shared" si="0"/>
        <v>2066.25</v>
      </c>
    </row>
    <row r="51" spans="2:5" ht="15" thickBot="1" x14ac:dyDescent="0.35">
      <c r="B51" s="76" t="s">
        <v>188</v>
      </c>
      <c r="C51" s="77">
        <v>399</v>
      </c>
      <c r="D51" s="78">
        <v>4.75</v>
      </c>
      <c r="E51" s="80">
        <f t="shared" si="0"/>
        <v>1895.25</v>
      </c>
    </row>
    <row r="52" spans="2:5" ht="15" thickBot="1" x14ac:dyDescent="0.35">
      <c r="B52" s="81"/>
      <c r="C52" s="78">
        <f>SUM(C46:C51)</f>
        <v>2614</v>
      </c>
      <c r="D52" s="78" t="s">
        <v>189</v>
      </c>
      <c r="E52" s="80">
        <f>SUM(E46:E51)</f>
        <v>12416.5</v>
      </c>
    </row>
    <row r="55" spans="2:5" x14ac:dyDescent="0.3">
      <c r="B55" s="1" t="s">
        <v>275</v>
      </c>
    </row>
    <row r="57" spans="2:5" x14ac:dyDescent="0.3">
      <c r="B57" t="s">
        <v>276</v>
      </c>
      <c r="C57" s="72">
        <f>+C39</f>
        <v>15298.2222</v>
      </c>
    </row>
    <row r="58" spans="2:5" x14ac:dyDescent="0.3">
      <c r="B58" t="s">
        <v>277</v>
      </c>
      <c r="C58" s="79">
        <f>+E52</f>
        <v>12416.5</v>
      </c>
    </row>
    <row r="59" spans="2:5" x14ac:dyDescent="0.3">
      <c r="B59" t="s">
        <v>296</v>
      </c>
      <c r="C59" s="79">
        <f>+C57-C58</f>
        <v>2881.7222000000002</v>
      </c>
      <c r="D59" s="1" t="s">
        <v>278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3D6DD-E199-49AA-B105-044ABB514A9E}">
  <dimension ref="A2:M51"/>
  <sheetViews>
    <sheetView topLeftCell="A11" zoomScale="180" zoomScaleNormal="180" workbookViewId="0">
      <selection activeCell="G17" sqref="G17"/>
    </sheetView>
  </sheetViews>
  <sheetFormatPr baseColWidth="10" defaultRowHeight="14.4" x14ac:dyDescent="0.3"/>
  <cols>
    <col min="1" max="1" width="14.33203125" customWidth="1"/>
    <col min="2" max="2" width="15.21875" customWidth="1"/>
    <col min="3" max="3" width="12.109375" bestFit="1" customWidth="1"/>
    <col min="4" max="4" width="14.109375" customWidth="1"/>
    <col min="5" max="5" width="13" customWidth="1"/>
    <col min="11" max="11" width="3.77734375" customWidth="1"/>
  </cols>
  <sheetData>
    <row r="2" spans="1:13" x14ac:dyDescent="0.3">
      <c r="A2" s="1" t="s">
        <v>295</v>
      </c>
      <c r="G2" s="3"/>
      <c r="H2" s="3"/>
      <c r="M2" s="3"/>
    </row>
    <row r="3" spans="1:13" x14ac:dyDescent="0.3">
      <c r="A3" t="s">
        <v>297</v>
      </c>
    </row>
    <row r="4" spans="1:13" x14ac:dyDescent="0.3">
      <c r="A4" t="s">
        <v>298</v>
      </c>
    </row>
    <row r="5" spans="1:13" x14ac:dyDescent="0.3">
      <c r="A5" t="s">
        <v>299</v>
      </c>
    </row>
    <row r="7" spans="1:13" x14ac:dyDescent="0.3">
      <c r="A7" s="1">
        <v>2026</v>
      </c>
      <c r="B7" s="1" t="s">
        <v>300</v>
      </c>
      <c r="C7" s="194" t="s">
        <v>341</v>
      </c>
    </row>
    <row r="8" spans="1:13" x14ac:dyDescent="0.3">
      <c r="A8" s="1" t="s">
        <v>193</v>
      </c>
      <c r="B8" s="5">
        <v>800000</v>
      </c>
      <c r="C8" s="195">
        <v>890000</v>
      </c>
      <c r="D8" t="s">
        <v>303</v>
      </c>
      <c r="E8" s="138">
        <f>+B9</f>
        <v>950000</v>
      </c>
      <c r="F8" s="54">
        <f>+E8/E9</f>
        <v>5</v>
      </c>
      <c r="G8" t="s">
        <v>305</v>
      </c>
      <c r="L8" t="s">
        <v>309</v>
      </c>
    </row>
    <row r="9" spans="1:13" x14ac:dyDescent="0.3">
      <c r="A9" t="s">
        <v>194</v>
      </c>
      <c r="B9" s="4">
        <v>950000</v>
      </c>
      <c r="C9" s="192">
        <v>925000</v>
      </c>
      <c r="E9" s="54">
        <f>+B11</f>
        <v>190000</v>
      </c>
      <c r="L9" t="s">
        <v>310</v>
      </c>
    </row>
    <row r="10" spans="1:13" x14ac:dyDescent="0.3">
      <c r="A10" s="1" t="s">
        <v>195</v>
      </c>
      <c r="B10" s="5">
        <v>500000</v>
      </c>
      <c r="C10" s="192">
        <v>526000</v>
      </c>
      <c r="I10" s="28" t="s">
        <v>307</v>
      </c>
      <c r="L10" t="s">
        <v>311</v>
      </c>
    </row>
    <row r="11" spans="1:13" x14ac:dyDescent="0.3">
      <c r="A11" t="s">
        <v>304</v>
      </c>
      <c r="B11" s="41">
        <v>190000</v>
      </c>
      <c r="C11" s="193">
        <v>182000</v>
      </c>
      <c r="D11" t="s">
        <v>308</v>
      </c>
      <c r="E11" s="18" t="s">
        <v>306</v>
      </c>
      <c r="F11" s="18" t="s">
        <v>316</v>
      </c>
      <c r="G11" s="138">
        <f>+B10</f>
        <v>500000</v>
      </c>
      <c r="H11" s="144">
        <f>+G11/G12</f>
        <v>0.625</v>
      </c>
      <c r="L11" t="s">
        <v>312</v>
      </c>
    </row>
    <row r="12" spans="1:13" x14ac:dyDescent="0.3">
      <c r="A12" t="s">
        <v>301</v>
      </c>
      <c r="B12" s="41">
        <v>80000</v>
      </c>
      <c r="C12" s="193">
        <v>86000</v>
      </c>
      <c r="E12" s="28" t="s">
        <v>307</v>
      </c>
      <c r="F12" t="s">
        <v>317</v>
      </c>
      <c r="G12" s="6">
        <f>+B8</f>
        <v>800000</v>
      </c>
      <c r="L12" t="s">
        <v>139</v>
      </c>
    </row>
    <row r="13" spans="1:13" x14ac:dyDescent="0.3">
      <c r="A13" t="s">
        <v>302</v>
      </c>
      <c r="B13" s="41">
        <v>400000</v>
      </c>
      <c r="C13" s="193">
        <v>432000</v>
      </c>
    </row>
    <row r="15" spans="1:13" ht="15" thickBot="1" x14ac:dyDescent="0.35">
      <c r="F15" t="s">
        <v>313</v>
      </c>
    </row>
    <row r="16" spans="1:13" ht="15" thickBot="1" x14ac:dyDescent="0.35">
      <c r="A16" s="139" t="s">
        <v>279</v>
      </c>
      <c r="B16" s="140" t="s">
        <v>280</v>
      </c>
      <c r="C16" s="140" t="s">
        <v>281</v>
      </c>
      <c r="D16" s="140" t="s">
        <v>282</v>
      </c>
      <c r="F16" s="143">
        <v>200</v>
      </c>
      <c r="G16" s="143" t="s">
        <v>314</v>
      </c>
      <c r="H16" s="143"/>
    </row>
    <row r="17" spans="1:11" x14ac:dyDescent="0.3">
      <c r="A17" s="141" t="s">
        <v>283</v>
      </c>
      <c r="B17" s="141" t="e" vm="1">
        <v>#VALUE!</v>
      </c>
      <c r="C17" s="141" t="s">
        <v>284</v>
      </c>
      <c r="D17" s="141" t="s">
        <v>285</v>
      </c>
      <c r="F17" t="s">
        <v>315</v>
      </c>
      <c r="G17" s="3">
        <v>2</v>
      </c>
      <c r="H17">
        <v>200</v>
      </c>
      <c r="I17" s="3">
        <f>+G17*H17</f>
        <v>400</v>
      </c>
    </row>
    <row r="18" spans="1:11" ht="15" thickBot="1" x14ac:dyDescent="0.35">
      <c r="A18" s="142"/>
      <c r="B18" s="142"/>
      <c r="C18" s="142"/>
      <c r="D18" s="142"/>
      <c r="F18" t="s">
        <v>194</v>
      </c>
      <c r="G18">
        <v>30</v>
      </c>
      <c r="H18">
        <v>5</v>
      </c>
      <c r="I18" s="3">
        <f>+G18*H18</f>
        <v>150</v>
      </c>
    </row>
    <row r="19" spans="1:11" x14ac:dyDescent="0.3">
      <c r="A19" s="141" t="s">
        <v>286</v>
      </c>
      <c r="B19" s="141" t="e" vm="2">
        <v>#VALUE!</v>
      </c>
      <c r="C19" s="141" t="s">
        <v>287</v>
      </c>
      <c r="D19" s="141" t="s">
        <v>288</v>
      </c>
      <c r="F19" t="s">
        <v>195</v>
      </c>
      <c r="H19" s="59">
        <v>0.63</v>
      </c>
      <c r="I19" s="9">
        <f>+H19*I17</f>
        <v>252</v>
      </c>
    </row>
    <row r="20" spans="1:11" ht="15" thickBot="1" x14ac:dyDescent="0.35">
      <c r="A20" s="142"/>
      <c r="B20" s="142"/>
      <c r="C20" s="142"/>
      <c r="D20" s="142"/>
      <c r="H20" t="s">
        <v>189</v>
      </c>
      <c r="I20" s="9">
        <f>SUM(I17:I19)</f>
        <v>802</v>
      </c>
    </row>
    <row r="21" spans="1:11" ht="40.200000000000003" customHeight="1" x14ac:dyDescent="0.3">
      <c r="A21" s="141" t="s">
        <v>289</v>
      </c>
      <c r="B21" s="141" t="e" vm="3">
        <v>#VALUE!</v>
      </c>
      <c r="C21" s="141" t="s">
        <v>290</v>
      </c>
      <c r="D21" s="141" t="s">
        <v>291</v>
      </c>
      <c r="H21" t="s">
        <v>318</v>
      </c>
      <c r="I21">
        <f>+I20/F16</f>
        <v>4.01</v>
      </c>
    </row>
    <row r="22" spans="1:11" ht="15" thickBot="1" x14ac:dyDescent="0.35">
      <c r="A22" s="142"/>
      <c r="B22" s="142"/>
      <c r="C22" s="142"/>
      <c r="D22" s="142"/>
    </row>
    <row r="23" spans="1:11" ht="40.200000000000003" customHeight="1" x14ac:dyDescent="0.3">
      <c r="A23" s="141" t="s">
        <v>292</v>
      </c>
      <c r="B23" s="141" t="e" vm="4">
        <v>#VALUE!</v>
      </c>
      <c r="C23" s="141" t="s">
        <v>293</v>
      </c>
      <c r="D23" s="141" t="s">
        <v>294</v>
      </c>
    </row>
    <row r="24" spans="1:11" ht="15" thickBot="1" x14ac:dyDescent="0.35">
      <c r="A24" s="142"/>
      <c r="B24" s="142"/>
      <c r="C24" s="142"/>
      <c r="D24" s="142"/>
      <c r="F24" t="s">
        <v>308</v>
      </c>
      <c r="G24" s="18" t="s">
        <v>306</v>
      </c>
      <c r="H24" s="18" t="s">
        <v>316</v>
      </c>
      <c r="I24" s="138">
        <v>500000</v>
      </c>
      <c r="J24" s="145">
        <f>+I24/I25</f>
        <v>2.6315789473684212</v>
      </c>
      <c r="K24" s="146" t="s">
        <v>320</v>
      </c>
    </row>
    <row r="25" spans="1:11" x14ac:dyDescent="0.3">
      <c r="G25" s="28" t="s">
        <v>307</v>
      </c>
      <c r="H25" t="s">
        <v>319</v>
      </c>
      <c r="I25" s="41">
        <v>190000</v>
      </c>
    </row>
    <row r="28" spans="1:11" x14ac:dyDescent="0.3">
      <c r="F28" t="s">
        <v>313</v>
      </c>
    </row>
    <row r="29" spans="1:11" x14ac:dyDescent="0.3">
      <c r="F29" s="143">
        <v>200</v>
      </c>
      <c r="G29" s="143" t="s">
        <v>314</v>
      </c>
      <c r="H29" s="143"/>
    </row>
    <row r="30" spans="1:11" x14ac:dyDescent="0.3">
      <c r="F30" t="s">
        <v>315</v>
      </c>
      <c r="G30" s="3">
        <v>2</v>
      </c>
      <c r="H30">
        <v>200</v>
      </c>
      <c r="I30" s="3">
        <f>+G30*H30</f>
        <v>400</v>
      </c>
    </row>
    <row r="31" spans="1:11" x14ac:dyDescent="0.3">
      <c r="F31" s="28" t="s">
        <v>194</v>
      </c>
      <c r="G31">
        <v>30</v>
      </c>
      <c r="H31" s="3">
        <v>5</v>
      </c>
      <c r="I31" s="3">
        <f>+G31*H31</f>
        <v>150</v>
      </c>
    </row>
    <row r="32" spans="1:11" x14ac:dyDescent="0.3">
      <c r="F32" t="s">
        <v>195</v>
      </c>
      <c r="G32">
        <v>30</v>
      </c>
      <c r="H32" s="40">
        <v>2.63</v>
      </c>
      <c r="I32" s="9">
        <f>+G32*H32</f>
        <v>78.899999999999991</v>
      </c>
    </row>
    <row r="33" spans="2:10" x14ac:dyDescent="0.3">
      <c r="H33" t="s">
        <v>189</v>
      </c>
      <c r="I33" s="9">
        <f>SUM(I30:I32)</f>
        <v>628.9</v>
      </c>
    </row>
    <row r="34" spans="2:10" x14ac:dyDescent="0.3">
      <c r="H34" t="s">
        <v>318</v>
      </c>
      <c r="I34">
        <f>+I33/F29</f>
        <v>3.1444999999999999</v>
      </c>
    </row>
    <row r="36" spans="2:10" x14ac:dyDescent="0.3">
      <c r="C36" t="s">
        <v>337</v>
      </c>
      <c r="D36">
        <v>290</v>
      </c>
      <c r="E36">
        <v>500</v>
      </c>
      <c r="F36">
        <v>760</v>
      </c>
      <c r="G36">
        <v>890</v>
      </c>
      <c r="H36" t="s">
        <v>338</v>
      </c>
      <c r="I36">
        <v>1215</v>
      </c>
      <c r="J36" t="s">
        <v>339</v>
      </c>
    </row>
    <row r="37" spans="2:10" x14ac:dyDescent="0.3">
      <c r="C37" t="s">
        <v>193</v>
      </c>
      <c r="D37" s="188">
        <f>+I17</f>
        <v>400</v>
      </c>
      <c r="E37" s="137">
        <v>1230</v>
      </c>
      <c r="F37" s="4">
        <v>5900</v>
      </c>
      <c r="G37">
        <v>650</v>
      </c>
      <c r="I37" s="4">
        <v>3200</v>
      </c>
    </row>
    <row r="38" spans="2:10" x14ac:dyDescent="0.3">
      <c r="C38" t="s">
        <v>194</v>
      </c>
      <c r="D38" s="188">
        <f>+I18</f>
        <v>150</v>
      </c>
      <c r="E38" s="137">
        <v>890</v>
      </c>
      <c r="F38" s="4">
        <v>3890</v>
      </c>
      <c r="G38">
        <v>540</v>
      </c>
      <c r="I38" s="4">
        <v>2760</v>
      </c>
    </row>
    <row r="39" spans="2:10" s="187" customFormat="1" x14ac:dyDescent="0.3">
      <c r="C39" s="187" t="s">
        <v>278</v>
      </c>
      <c r="D39" s="189">
        <f>+I19</f>
        <v>252</v>
      </c>
      <c r="E39" s="190">
        <f>+E37*63%</f>
        <v>774.9</v>
      </c>
      <c r="F39" s="91">
        <f>+F37*0.63</f>
        <v>3717</v>
      </c>
      <c r="G39" s="187">
        <f>+G37*0.63</f>
        <v>409.5</v>
      </c>
      <c r="I39" s="91">
        <f>+I37*0.63</f>
        <v>2016</v>
      </c>
      <c r="J39" s="191" t="s">
        <v>28</v>
      </c>
    </row>
    <row r="40" spans="2:10" x14ac:dyDescent="0.3">
      <c r="C40" t="s">
        <v>196</v>
      </c>
      <c r="D40" s="188">
        <f>SUM(D37:D39)</f>
        <v>802</v>
      </c>
      <c r="E40" s="188">
        <f>SUM(E37:E39)</f>
        <v>2894.9</v>
      </c>
      <c r="F40" s="188">
        <f t="shared" ref="F40:I40" si="0">SUM(F37:F39)</f>
        <v>13507</v>
      </c>
      <c r="G40" s="188">
        <f t="shared" si="0"/>
        <v>1599.5</v>
      </c>
      <c r="H40" s="188">
        <f t="shared" si="0"/>
        <v>0</v>
      </c>
      <c r="I40" s="188">
        <f t="shared" si="0"/>
        <v>7976</v>
      </c>
    </row>
    <row r="42" spans="2:10" x14ac:dyDescent="0.3">
      <c r="B42" s="198" t="s">
        <v>344</v>
      </c>
      <c r="C42" t="s">
        <v>340</v>
      </c>
    </row>
    <row r="43" spans="2:10" x14ac:dyDescent="0.3">
      <c r="C43" t="s">
        <v>342</v>
      </c>
      <c r="D43" s="59">
        <v>0.63</v>
      </c>
      <c r="E43" t="s">
        <v>343</v>
      </c>
    </row>
    <row r="44" spans="2:10" x14ac:dyDescent="0.3">
      <c r="C44" s="196" t="s">
        <v>342</v>
      </c>
      <c r="D44" s="197">
        <f>890000*63%</f>
        <v>560700</v>
      </c>
    </row>
    <row r="45" spans="2:10" x14ac:dyDescent="0.3">
      <c r="C45" t="s">
        <v>345</v>
      </c>
      <c r="E45" s="6">
        <f>+D44-D46</f>
        <v>34700</v>
      </c>
    </row>
    <row r="46" spans="2:10" x14ac:dyDescent="0.3">
      <c r="C46" s="199" t="s">
        <v>346</v>
      </c>
      <c r="D46" s="6">
        <f>+C10</f>
        <v>526000</v>
      </c>
    </row>
    <row r="47" spans="2:10" x14ac:dyDescent="0.3">
      <c r="C47" t="s">
        <v>296</v>
      </c>
    </row>
    <row r="48" spans="2:10" x14ac:dyDescent="0.3">
      <c r="C48" t="s">
        <v>347</v>
      </c>
    </row>
    <row r="49" spans="3:3" x14ac:dyDescent="0.3">
      <c r="C49" t="s">
        <v>350</v>
      </c>
    </row>
    <row r="50" spans="3:3" x14ac:dyDescent="0.3">
      <c r="C50" t="s">
        <v>348</v>
      </c>
    </row>
    <row r="51" spans="3:3" x14ac:dyDescent="0.3">
      <c r="C51" t="s">
        <v>349</v>
      </c>
    </row>
  </sheetData>
  <mergeCells count="16"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D17:D18"/>
    <mergeCell ref="A19:A20"/>
    <mergeCell ref="B19:B20"/>
    <mergeCell ref="C19:C20"/>
    <mergeCell ref="D19:D20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DA9C2-EADF-42E5-B326-D898FB920115}">
  <dimension ref="A2:H19"/>
  <sheetViews>
    <sheetView tabSelected="1" topLeftCell="A3" zoomScale="140" zoomScaleNormal="140" workbookViewId="0">
      <selection activeCell="J10" sqref="J10"/>
    </sheetView>
  </sheetViews>
  <sheetFormatPr baseColWidth="10" defaultRowHeight="14.4" x14ac:dyDescent="0.3"/>
  <sheetData>
    <row r="2" spans="1:8" ht="26.4" thickBot="1" x14ac:dyDescent="0.55000000000000004">
      <c r="A2" s="147" t="s">
        <v>321</v>
      </c>
    </row>
    <row r="3" spans="1:8" x14ac:dyDescent="0.3">
      <c r="A3" s="148" t="s">
        <v>322</v>
      </c>
      <c r="B3" s="149" t="s">
        <v>323</v>
      </c>
      <c r="C3" s="149"/>
      <c r="D3" s="169" t="s">
        <v>321</v>
      </c>
      <c r="E3" s="169"/>
      <c r="F3" s="149"/>
      <c r="G3" s="149"/>
      <c r="H3" s="150"/>
    </row>
    <row r="4" spans="1:8" ht="15" thickBot="1" x14ac:dyDescent="0.35">
      <c r="A4" s="170" t="s">
        <v>351</v>
      </c>
      <c r="B4" s="171"/>
      <c r="C4" s="171"/>
      <c r="D4" s="151"/>
      <c r="E4" s="151"/>
      <c r="F4" s="151"/>
      <c r="G4" s="151"/>
      <c r="H4" s="152"/>
    </row>
    <row r="5" spans="1:8" ht="15" thickBot="1" x14ac:dyDescent="0.35">
      <c r="A5" s="172" t="s">
        <v>193</v>
      </c>
      <c r="B5" s="173"/>
      <c r="C5" s="173"/>
      <c r="D5" s="174"/>
      <c r="E5" s="176" t="s">
        <v>194</v>
      </c>
      <c r="F5" s="175"/>
      <c r="G5" s="175"/>
      <c r="H5" s="177"/>
    </row>
    <row r="6" spans="1:8" ht="15" thickBot="1" x14ac:dyDescent="0.35">
      <c r="A6" s="153" t="s">
        <v>324</v>
      </c>
      <c r="B6" s="153" t="s">
        <v>325</v>
      </c>
      <c r="C6" s="154" t="s">
        <v>326</v>
      </c>
      <c r="D6" s="155" t="s">
        <v>327</v>
      </c>
      <c r="E6" s="156" t="s">
        <v>328</v>
      </c>
      <c r="F6" s="153" t="s">
        <v>329</v>
      </c>
      <c r="G6" s="154" t="s">
        <v>330</v>
      </c>
      <c r="H6" s="155" t="s">
        <v>327</v>
      </c>
    </row>
    <row r="7" spans="1:8" x14ac:dyDescent="0.3">
      <c r="A7" s="157" t="s">
        <v>352</v>
      </c>
      <c r="B7" s="158">
        <v>200</v>
      </c>
      <c r="C7" s="159">
        <v>2</v>
      </c>
      <c r="D7" s="160">
        <f>+B7*C7</f>
        <v>400</v>
      </c>
      <c r="E7" s="157" t="s">
        <v>194</v>
      </c>
      <c r="F7" s="158">
        <v>30</v>
      </c>
      <c r="G7" s="161">
        <v>5</v>
      </c>
      <c r="H7" s="162">
        <f>+F7*G7</f>
        <v>150</v>
      </c>
    </row>
    <row r="8" spans="1:8" x14ac:dyDescent="0.3">
      <c r="A8" s="157" t="s">
        <v>353</v>
      </c>
      <c r="B8" s="157">
        <v>30</v>
      </c>
      <c r="C8" s="201">
        <v>2</v>
      </c>
      <c r="D8" s="151">
        <f>+B8*C8</f>
        <v>60</v>
      </c>
      <c r="E8" s="157" t="s">
        <v>194</v>
      </c>
      <c r="F8" s="157">
        <v>7</v>
      </c>
      <c r="G8" s="163">
        <v>5</v>
      </c>
      <c r="H8" s="200">
        <f>+F8*G8</f>
        <v>35</v>
      </c>
    </row>
    <row r="9" spans="1:8" x14ac:dyDescent="0.3">
      <c r="A9" s="157"/>
      <c r="B9" s="157"/>
      <c r="C9" s="163"/>
      <c r="D9" s="151"/>
      <c r="E9" s="157"/>
      <c r="F9" s="157"/>
      <c r="G9" s="163"/>
      <c r="H9" s="152"/>
    </row>
    <row r="10" spans="1:8" x14ac:dyDescent="0.3">
      <c r="A10" s="157"/>
      <c r="B10" s="157"/>
      <c r="C10" s="163"/>
      <c r="D10" s="152"/>
      <c r="E10" s="151"/>
      <c r="F10" s="157"/>
      <c r="G10" s="163"/>
      <c r="H10" s="152"/>
    </row>
    <row r="11" spans="1:8" ht="15" thickBot="1" x14ac:dyDescent="0.35">
      <c r="A11" s="153"/>
      <c r="B11" s="153"/>
      <c r="C11" s="154"/>
      <c r="D11" s="155"/>
      <c r="E11" s="156"/>
      <c r="F11" s="153"/>
      <c r="G11" s="154"/>
      <c r="H11" s="155"/>
    </row>
    <row r="12" spans="1:8" ht="15" thickBot="1" x14ac:dyDescent="0.35">
      <c r="A12" s="178" t="s">
        <v>278</v>
      </c>
      <c r="B12" s="179"/>
      <c r="C12" s="179"/>
      <c r="D12" s="180"/>
      <c r="E12" s="156"/>
      <c r="F12" s="156"/>
      <c r="G12" s="156" t="s">
        <v>331</v>
      </c>
      <c r="H12" s="155"/>
    </row>
    <row r="13" spans="1:8" ht="15" thickBot="1" x14ac:dyDescent="0.35">
      <c r="A13" s="153" t="s">
        <v>328</v>
      </c>
      <c r="B13" s="154" t="s">
        <v>355</v>
      </c>
      <c r="C13" s="155" t="s">
        <v>356</v>
      </c>
      <c r="D13" s="155" t="s">
        <v>332</v>
      </c>
      <c r="E13" s="151"/>
      <c r="F13" s="151"/>
      <c r="G13" s="151"/>
      <c r="H13" s="152"/>
    </row>
    <row r="14" spans="1:8" ht="15" thickBot="1" x14ac:dyDescent="0.35">
      <c r="A14" s="157" t="s">
        <v>354</v>
      </c>
      <c r="B14" s="202">
        <v>0.63</v>
      </c>
      <c r="C14" s="162">
        <f>+H14</f>
        <v>460</v>
      </c>
      <c r="D14" s="160">
        <f>+B14*C14</f>
        <v>289.8</v>
      </c>
      <c r="E14" s="181" t="s">
        <v>333</v>
      </c>
      <c r="F14" s="182"/>
      <c r="G14" s="151"/>
      <c r="H14" s="164">
        <f>SUM(D7:D11)</f>
        <v>460</v>
      </c>
    </row>
    <row r="15" spans="1:8" ht="15" thickBot="1" x14ac:dyDescent="0.35">
      <c r="A15" s="157"/>
      <c r="B15" s="161"/>
      <c r="C15" s="165"/>
      <c r="D15" s="160"/>
      <c r="E15" s="181" t="s">
        <v>226</v>
      </c>
      <c r="F15" s="182"/>
      <c r="G15" s="151"/>
      <c r="H15" s="166">
        <f>SUM(H7:H11)</f>
        <v>185</v>
      </c>
    </row>
    <row r="16" spans="1:8" ht="15" thickBot="1" x14ac:dyDescent="0.35">
      <c r="A16" s="157"/>
      <c r="B16" s="161"/>
      <c r="C16" s="165"/>
      <c r="D16" s="160"/>
      <c r="E16" s="181" t="s">
        <v>145</v>
      </c>
      <c r="F16" s="182"/>
      <c r="G16" s="183"/>
      <c r="H16" s="166">
        <f>+D14</f>
        <v>289.8</v>
      </c>
    </row>
    <row r="17" spans="1:8" ht="15" thickBot="1" x14ac:dyDescent="0.35">
      <c r="A17" s="157"/>
      <c r="B17" s="163"/>
      <c r="C17" s="152"/>
      <c r="D17" s="151"/>
      <c r="E17" s="184" t="s">
        <v>334</v>
      </c>
      <c r="F17" s="185"/>
      <c r="G17" s="186"/>
      <c r="H17" s="166">
        <f>SUM(+H15+H14)</f>
        <v>645</v>
      </c>
    </row>
    <row r="18" spans="1:8" ht="15" thickBot="1" x14ac:dyDescent="0.35">
      <c r="A18" s="157"/>
      <c r="B18" s="163"/>
      <c r="C18" s="152"/>
      <c r="D18" s="151"/>
      <c r="E18" s="181" t="s">
        <v>335</v>
      </c>
      <c r="F18" s="182"/>
      <c r="G18" s="151"/>
      <c r="H18" s="167">
        <v>200</v>
      </c>
    </row>
    <row r="19" spans="1:8" ht="15" thickBot="1" x14ac:dyDescent="0.35">
      <c r="A19" s="153"/>
      <c r="B19" s="154"/>
      <c r="C19" s="155"/>
      <c r="D19" s="156"/>
      <c r="E19" s="170" t="s">
        <v>336</v>
      </c>
      <c r="F19" s="171"/>
      <c r="G19" s="156"/>
      <c r="H19" s="168">
        <f>+H17/H18</f>
        <v>3.2250000000000001</v>
      </c>
    </row>
  </sheetData>
  <mergeCells count="11">
    <mergeCell ref="E15:F15"/>
    <mergeCell ref="E16:G16"/>
    <mergeCell ref="E17:G17"/>
    <mergeCell ref="E18:F18"/>
    <mergeCell ref="E19:F19"/>
    <mergeCell ref="D3:E3"/>
    <mergeCell ref="A4:C4"/>
    <mergeCell ref="A5:D5"/>
    <mergeCell ref="E5:H5"/>
    <mergeCell ref="A12:D12"/>
    <mergeCell ref="E14:F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F0D42-0D42-4A3B-8CD0-B41BF525C7BB}">
  <dimension ref="B1:N30"/>
  <sheetViews>
    <sheetView zoomScale="90" zoomScaleNormal="90" workbookViewId="0">
      <selection activeCell="N16" sqref="N16"/>
    </sheetView>
  </sheetViews>
  <sheetFormatPr baseColWidth="10" defaultRowHeight="14.4" x14ac:dyDescent="0.3"/>
  <cols>
    <col min="5" max="5" width="13.6640625" customWidth="1"/>
    <col min="9" max="9" width="4.5546875" customWidth="1"/>
    <col min="12" max="12" width="3.33203125" customWidth="1"/>
    <col min="13" max="13" width="18.88671875" customWidth="1"/>
  </cols>
  <sheetData>
    <row r="1" spans="2:14" ht="15" thickBot="1" x14ac:dyDescent="0.35">
      <c r="B1" s="19"/>
      <c r="C1" s="20"/>
      <c r="D1" s="20"/>
      <c r="E1" s="20"/>
      <c r="F1" s="20"/>
      <c r="G1" s="21"/>
      <c r="J1" t="s">
        <v>63</v>
      </c>
      <c r="M1" t="s">
        <v>63</v>
      </c>
    </row>
    <row r="2" spans="2:14" x14ac:dyDescent="0.3">
      <c r="B2" s="19" t="s">
        <v>53</v>
      </c>
      <c r="C2" s="20"/>
      <c r="D2" s="20"/>
      <c r="E2" s="20"/>
      <c r="F2" s="20"/>
      <c r="G2" s="21"/>
      <c r="J2" t="s">
        <v>59</v>
      </c>
      <c r="M2" t="s">
        <v>65</v>
      </c>
    </row>
    <row r="3" spans="2:14" x14ac:dyDescent="0.3">
      <c r="B3" s="22" t="s">
        <v>56</v>
      </c>
      <c r="F3" t="s">
        <v>55</v>
      </c>
      <c r="G3" s="23"/>
      <c r="J3" t="s">
        <v>64</v>
      </c>
      <c r="M3" t="s">
        <v>64</v>
      </c>
    </row>
    <row r="4" spans="2:14" x14ac:dyDescent="0.3">
      <c r="B4" s="22" t="s">
        <v>54</v>
      </c>
      <c r="G4" s="23"/>
    </row>
    <row r="5" spans="2:14" x14ac:dyDescent="0.3">
      <c r="B5" s="22" t="s">
        <v>57</v>
      </c>
      <c r="G5" s="23"/>
      <c r="J5" t="s">
        <v>16</v>
      </c>
      <c r="M5" t="s">
        <v>66</v>
      </c>
      <c r="N5" t="s">
        <v>74</v>
      </c>
    </row>
    <row r="6" spans="2:14" ht="15" thickBot="1" x14ac:dyDescent="0.35">
      <c r="B6" s="24"/>
      <c r="C6" s="25"/>
      <c r="D6" s="25"/>
      <c r="E6" s="25"/>
      <c r="F6" s="25"/>
      <c r="G6" s="26"/>
      <c r="J6" s="28" t="s">
        <v>17</v>
      </c>
      <c r="M6" t="s">
        <v>67</v>
      </c>
      <c r="N6" t="s">
        <v>75</v>
      </c>
    </row>
    <row r="7" spans="2:14" x14ac:dyDescent="0.3">
      <c r="B7" s="27" t="s">
        <v>62</v>
      </c>
      <c r="F7" s="1" t="s">
        <v>61</v>
      </c>
      <c r="J7" t="s">
        <v>18</v>
      </c>
      <c r="M7" t="s">
        <v>68</v>
      </c>
      <c r="N7" t="s">
        <v>76</v>
      </c>
    </row>
    <row r="8" spans="2:14" x14ac:dyDescent="0.3">
      <c r="B8" s="1" t="s">
        <v>58</v>
      </c>
      <c r="F8" t="s">
        <v>59</v>
      </c>
      <c r="J8" t="s">
        <v>19</v>
      </c>
      <c r="M8" t="s">
        <v>69</v>
      </c>
    </row>
    <row r="9" spans="2:14" x14ac:dyDescent="0.3">
      <c r="F9" t="s">
        <v>60</v>
      </c>
      <c r="J9" t="s">
        <v>20</v>
      </c>
      <c r="M9" t="s">
        <v>70</v>
      </c>
      <c r="N9" t="s">
        <v>77</v>
      </c>
    </row>
    <row r="10" spans="2:14" x14ac:dyDescent="0.3">
      <c r="B10" t="s">
        <v>89</v>
      </c>
      <c r="J10" t="s">
        <v>87</v>
      </c>
      <c r="N10" t="s">
        <v>78</v>
      </c>
    </row>
    <row r="11" spans="2:14" x14ac:dyDescent="0.3">
      <c r="B11" t="s">
        <v>90</v>
      </c>
      <c r="M11" t="s">
        <v>71</v>
      </c>
      <c r="N11" t="s">
        <v>79</v>
      </c>
    </row>
    <row r="12" spans="2:14" x14ac:dyDescent="0.3">
      <c r="M12" t="s">
        <v>72</v>
      </c>
      <c r="N12" t="s">
        <v>80</v>
      </c>
    </row>
    <row r="13" spans="2:14" x14ac:dyDescent="0.3">
      <c r="B13" s="1" t="s">
        <v>99</v>
      </c>
      <c r="M13" t="s">
        <v>73</v>
      </c>
      <c r="N13" t="s">
        <v>81</v>
      </c>
    </row>
    <row r="14" spans="2:14" x14ac:dyDescent="0.3">
      <c r="B14" s="33" t="s">
        <v>91</v>
      </c>
      <c r="N14" t="s">
        <v>82</v>
      </c>
    </row>
    <row r="15" spans="2:14" x14ac:dyDescent="0.3">
      <c r="B15" s="33" t="s">
        <v>92</v>
      </c>
      <c r="N15" t="s">
        <v>83</v>
      </c>
    </row>
    <row r="16" spans="2:14" x14ac:dyDescent="0.3">
      <c r="B16" s="33" t="s">
        <v>100</v>
      </c>
      <c r="N16" t="s">
        <v>88</v>
      </c>
    </row>
    <row r="17" spans="2:14" x14ac:dyDescent="0.3">
      <c r="B17" s="33" t="s">
        <v>93</v>
      </c>
      <c r="N17" t="s">
        <v>84</v>
      </c>
    </row>
    <row r="18" spans="2:14" ht="21" x14ac:dyDescent="0.4">
      <c r="B18" s="37" t="s">
        <v>101</v>
      </c>
      <c r="C18" s="38"/>
      <c r="D18" s="38"/>
      <c r="N18" t="s">
        <v>85</v>
      </c>
    </row>
    <row r="19" spans="2:14" x14ac:dyDescent="0.3">
      <c r="B19" s="34" t="s">
        <v>94</v>
      </c>
      <c r="M19" t="s">
        <v>86</v>
      </c>
    </row>
    <row r="20" spans="2:14" x14ac:dyDescent="0.3">
      <c r="B20" s="33" t="s">
        <v>103</v>
      </c>
    </row>
    <row r="21" spans="2:14" x14ac:dyDescent="0.3">
      <c r="B21" s="33" t="s">
        <v>95</v>
      </c>
    </row>
    <row r="22" spans="2:14" x14ac:dyDescent="0.3">
      <c r="B22" s="33" t="s">
        <v>96</v>
      </c>
    </row>
    <row r="23" spans="2:14" x14ac:dyDescent="0.3">
      <c r="B23" s="33" t="s">
        <v>102</v>
      </c>
    </row>
    <row r="24" spans="2:14" ht="15.6" x14ac:dyDescent="0.3">
      <c r="B24" s="35" t="s">
        <v>97</v>
      </c>
    </row>
    <row r="25" spans="2:14" x14ac:dyDescent="0.3">
      <c r="B25" s="33" t="s">
        <v>104</v>
      </c>
    </row>
    <row r="26" spans="2:14" x14ac:dyDescent="0.3">
      <c r="B26" s="33" t="s">
        <v>105</v>
      </c>
    </row>
    <row r="27" spans="2:14" x14ac:dyDescent="0.3">
      <c r="B27" s="34" t="s">
        <v>98</v>
      </c>
      <c r="E27" s="39">
        <v>50000</v>
      </c>
      <c r="F27">
        <v>9000</v>
      </c>
      <c r="G27" s="40">
        <f>+E27/F27</f>
        <v>5.5555555555555554</v>
      </c>
    </row>
    <row r="28" spans="2:14" x14ac:dyDescent="0.3">
      <c r="B28" s="33" t="s">
        <v>12</v>
      </c>
    </row>
    <row r="29" spans="2:14" x14ac:dyDescent="0.3">
      <c r="B29" s="33" t="s">
        <v>106</v>
      </c>
    </row>
    <row r="30" spans="2:14" x14ac:dyDescent="0.3">
      <c r="B30" s="36" t="s">
        <v>107</v>
      </c>
      <c r="C30" s="28"/>
      <c r="D30" s="28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7F336-CAD0-4D4C-A230-A53B0EA87F29}">
  <dimension ref="J1:O21"/>
  <sheetViews>
    <sheetView topLeftCell="D1" workbookViewId="0">
      <selection activeCell="N17" sqref="N17"/>
    </sheetView>
  </sheetViews>
  <sheetFormatPr baseColWidth="10" defaultRowHeight="14.4" x14ac:dyDescent="0.3"/>
  <cols>
    <col min="10" max="10" width="40.6640625" customWidth="1"/>
    <col min="11" max="11" width="11.5546875" style="41"/>
    <col min="14" max="14" width="28.44140625" customWidth="1"/>
  </cols>
  <sheetData>
    <row r="1" spans="10:15" x14ac:dyDescent="0.3">
      <c r="J1" s="1" t="s">
        <v>108</v>
      </c>
      <c r="N1" s="1" t="s">
        <v>108</v>
      </c>
    </row>
    <row r="2" spans="10:15" x14ac:dyDescent="0.3">
      <c r="J2" s="1" t="s">
        <v>99</v>
      </c>
      <c r="N2" s="1" t="s">
        <v>113</v>
      </c>
    </row>
    <row r="3" spans="10:15" x14ac:dyDescent="0.3">
      <c r="J3" s="1" t="s">
        <v>109</v>
      </c>
      <c r="N3" s="1" t="s">
        <v>109</v>
      </c>
    </row>
    <row r="4" spans="10:15" x14ac:dyDescent="0.3">
      <c r="J4" s="33" t="s">
        <v>91</v>
      </c>
      <c r="L4" s="42">
        <v>22000</v>
      </c>
    </row>
    <row r="5" spans="10:15" x14ac:dyDescent="0.3">
      <c r="J5" s="33" t="s">
        <v>92</v>
      </c>
      <c r="L5" s="42">
        <v>75000</v>
      </c>
      <c r="N5" s="1" t="s">
        <v>16</v>
      </c>
      <c r="O5" s="41">
        <v>300000</v>
      </c>
    </row>
    <row r="6" spans="10:15" x14ac:dyDescent="0.3">
      <c r="J6" s="44" t="s">
        <v>100</v>
      </c>
      <c r="K6" s="45"/>
      <c r="L6" s="46">
        <f>+L4+L5</f>
        <v>97000</v>
      </c>
      <c r="N6" t="str">
        <f>+J21</f>
        <v xml:space="preserve">(=) Costo de bienes vendidos  / Costo de ventas </v>
      </c>
      <c r="O6" s="54">
        <f>+L21</f>
        <v>131000</v>
      </c>
    </row>
    <row r="7" spans="10:15" x14ac:dyDescent="0.3">
      <c r="J7" s="33" t="s">
        <v>93</v>
      </c>
      <c r="L7" s="42">
        <v>26000</v>
      </c>
      <c r="N7" s="1" t="s">
        <v>114</v>
      </c>
      <c r="O7" s="54">
        <f>+O5-O6</f>
        <v>169000</v>
      </c>
    </row>
    <row r="8" spans="10:15" ht="21" x14ac:dyDescent="0.4">
      <c r="J8" s="37" t="s">
        <v>101</v>
      </c>
      <c r="L8" s="47">
        <f>+L6-L7</f>
        <v>71000</v>
      </c>
      <c r="N8" t="s">
        <v>115</v>
      </c>
      <c r="O8">
        <v>93000</v>
      </c>
    </row>
    <row r="9" spans="10:15" x14ac:dyDescent="0.3">
      <c r="J9" s="34" t="s">
        <v>94</v>
      </c>
      <c r="L9" s="48">
        <v>25000</v>
      </c>
      <c r="N9" s="1" t="s">
        <v>116</v>
      </c>
      <c r="O9">
        <v>29000</v>
      </c>
    </row>
    <row r="10" spans="10:15" x14ac:dyDescent="0.3">
      <c r="J10" s="33" t="s">
        <v>103</v>
      </c>
      <c r="K10" s="42"/>
      <c r="L10" s="49">
        <f>SUM(K11:K14)</f>
        <v>39000</v>
      </c>
      <c r="N10" s="1" t="s">
        <v>117</v>
      </c>
      <c r="O10" s="55">
        <f>+O7-O8-O9</f>
        <v>47000</v>
      </c>
    </row>
    <row r="11" spans="10:15" x14ac:dyDescent="0.3">
      <c r="J11" s="33" t="s">
        <v>96</v>
      </c>
      <c r="K11" s="42">
        <v>15000</v>
      </c>
    </row>
    <row r="12" spans="10:15" x14ac:dyDescent="0.3">
      <c r="J12" s="33" t="s">
        <v>110</v>
      </c>
      <c r="K12" s="42">
        <v>9000</v>
      </c>
    </row>
    <row r="13" spans="10:15" x14ac:dyDescent="0.3">
      <c r="J13" s="33" t="s">
        <v>111</v>
      </c>
      <c r="K13" s="41">
        <v>11000</v>
      </c>
    </row>
    <row r="14" spans="10:15" x14ac:dyDescent="0.3">
      <c r="J14" s="33" t="s">
        <v>112</v>
      </c>
      <c r="K14" s="41">
        <v>4000</v>
      </c>
    </row>
    <row r="15" spans="10:15" ht="15.6" x14ac:dyDescent="0.3">
      <c r="J15" s="35" t="s">
        <v>97</v>
      </c>
      <c r="K15" s="42"/>
      <c r="L15" s="50">
        <f>SUM(L8:L10)</f>
        <v>135000</v>
      </c>
    </row>
    <row r="16" spans="10:15" x14ac:dyDescent="0.3">
      <c r="J16" s="33" t="s">
        <v>104</v>
      </c>
      <c r="L16" s="42">
        <v>21000</v>
      </c>
    </row>
    <row r="17" spans="10:14" x14ac:dyDescent="0.3">
      <c r="J17" s="33" t="s">
        <v>105</v>
      </c>
      <c r="L17" s="42">
        <v>20000</v>
      </c>
    </row>
    <row r="18" spans="10:14" x14ac:dyDescent="0.3">
      <c r="J18" s="51" t="s">
        <v>98</v>
      </c>
      <c r="K18" s="52"/>
      <c r="L18" s="53">
        <f>+L15+L16-L17</f>
        <v>136000</v>
      </c>
      <c r="M18">
        <v>36000</v>
      </c>
      <c r="N18" s="40">
        <f>+L18/M18</f>
        <v>3.7777777777777777</v>
      </c>
    </row>
    <row r="19" spans="10:14" x14ac:dyDescent="0.3">
      <c r="J19" s="33" t="s">
        <v>12</v>
      </c>
      <c r="L19" s="42">
        <v>18000</v>
      </c>
    </row>
    <row r="20" spans="10:14" x14ac:dyDescent="0.3">
      <c r="J20" s="33" t="s">
        <v>106</v>
      </c>
      <c r="L20" s="42">
        <v>23000</v>
      </c>
    </row>
    <row r="21" spans="10:14" x14ac:dyDescent="0.3">
      <c r="J21" s="36" t="s">
        <v>107</v>
      </c>
      <c r="L21" s="43">
        <f>+L18+L19-L20</f>
        <v>131000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3127-4633-498F-A308-2A0FF430DCCF}">
  <dimension ref="I2:L26"/>
  <sheetViews>
    <sheetView topLeftCell="A4" zoomScale="110" zoomScaleNormal="110" workbookViewId="0">
      <selection activeCell="L13" sqref="L13"/>
    </sheetView>
  </sheetViews>
  <sheetFormatPr baseColWidth="10" defaultRowHeight="14.4" x14ac:dyDescent="0.3"/>
  <cols>
    <col min="10" max="10" width="29" customWidth="1"/>
  </cols>
  <sheetData>
    <row r="2" spans="9:11" x14ac:dyDescent="0.3">
      <c r="I2" s="1" t="s">
        <v>108</v>
      </c>
    </row>
    <row r="3" spans="9:11" x14ac:dyDescent="0.3">
      <c r="I3" s="1" t="s">
        <v>99</v>
      </c>
    </row>
    <row r="4" spans="9:11" x14ac:dyDescent="0.3">
      <c r="I4" s="1" t="s">
        <v>109</v>
      </c>
    </row>
    <row r="5" spans="9:11" x14ac:dyDescent="0.3">
      <c r="I5" s="33" t="s">
        <v>91</v>
      </c>
    </row>
    <row r="6" spans="9:11" x14ac:dyDescent="0.3">
      <c r="I6" s="33" t="s">
        <v>92</v>
      </c>
      <c r="K6">
        <v>9000</v>
      </c>
    </row>
    <row r="7" spans="9:11" x14ac:dyDescent="0.3">
      <c r="I7" s="44" t="s">
        <v>100</v>
      </c>
    </row>
    <row r="8" spans="9:11" x14ac:dyDescent="0.3">
      <c r="I8" s="33" t="s">
        <v>93</v>
      </c>
    </row>
    <row r="9" spans="9:11" ht="21" x14ac:dyDescent="0.4">
      <c r="I9" s="37" t="s">
        <v>101</v>
      </c>
      <c r="K9">
        <v>8000</v>
      </c>
    </row>
    <row r="10" spans="9:11" x14ac:dyDescent="0.3">
      <c r="I10" s="34" t="s">
        <v>94</v>
      </c>
      <c r="K10">
        <v>3000</v>
      </c>
    </row>
    <row r="11" spans="9:11" x14ac:dyDescent="0.3">
      <c r="I11" s="33" t="s">
        <v>103</v>
      </c>
      <c r="K11">
        <v>7000</v>
      </c>
    </row>
    <row r="12" spans="9:11" x14ac:dyDescent="0.3">
      <c r="I12" s="57" t="s">
        <v>96</v>
      </c>
      <c r="J12" s="58"/>
      <c r="K12" s="58"/>
    </row>
    <row r="13" spans="9:11" x14ac:dyDescent="0.3">
      <c r="I13" s="57" t="s">
        <v>110</v>
      </c>
      <c r="J13" s="58"/>
      <c r="K13" s="58"/>
    </row>
    <row r="14" spans="9:11" x14ac:dyDescent="0.3">
      <c r="I14" s="57" t="s">
        <v>111</v>
      </c>
      <c r="J14" s="58"/>
      <c r="K14" s="58"/>
    </row>
    <row r="15" spans="9:11" x14ac:dyDescent="0.3">
      <c r="I15" s="57" t="s">
        <v>112</v>
      </c>
      <c r="J15" s="58"/>
      <c r="K15" s="58"/>
    </row>
    <row r="16" spans="9:11" ht="15.6" x14ac:dyDescent="0.3">
      <c r="I16" s="35" t="s">
        <v>97</v>
      </c>
      <c r="K16">
        <f>SUM(K9:K15)</f>
        <v>18000</v>
      </c>
    </row>
    <row r="17" spans="9:12" x14ac:dyDescent="0.3">
      <c r="I17" s="33" t="s">
        <v>104</v>
      </c>
      <c r="K17">
        <v>0</v>
      </c>
    </row>
    <row r="18" spans="9:12" x14ac:dyDescent="0.3">
      <c r="I18" s="33" t="s">
        <v>105</v>
      </c>
      <c r="K18">
        <v>0</v>
      </c>
    </row>
    <row r="19" spans="9:12" x14ac:dyDescent="0.3">
      <c r="I19" s="51" t="s">
        <v>98</v>
      </c>
      <c r="K19">
        <f>+K16+K17-K18</f>
        <v>18000</v>
      </c>
    </row>
    <row r="20" spans="9:12" x14ac:dyDescent="0.3">
      <c r="I20" s="33" t="s">
        <v>12</v>
      </c>
      <c r="K20">
        <v>4000</v>
      </c>
      <c r="L20">
        <f>+K19+K20</f>
        <v>22000</v>
      </c>
    </row>
    <row r="21" spans="9:12" x14ac:dyDescent="0.3">
      <c r="I21" s="33" t="s">
        <v>106</v>
      </c>
      <c r="K21" s="56">
        <f>+L20-K22</f>
        <v>1300</v>
      </c>
    </row>
    <row r="22" spans="9:12" x14ac:dyDescent="0.3">
      <c r="I22" s="36" t="s">
        <v>107</v>
      </c>
      <c r="K22" s="56">
        <f>+K25</f>
        <v>20700</v>
      </c>
    </row>
    <row r="24" spans="9:12" x14ac:dyDescent="0.3">
      <c r="I24" t="s">
        <v>118</v>
      </c>
      <c r="K24">
        <v>32000</v>
      </c>
    </row>
    <row r="25" spans="9:12" x14ac:dyDescent="0.3">
      <c r="I25" s="1" t="s">
        <v>119</v>
      </c>
      <c r="J25" s="1"/>
      <c r="K25" s="1">
        <f>+K24-K26</f>
        <v>20700</v>
      </c>
    </row>
    <row r="26" spans="9:12" x14ac:dyDescent="0.3">
      <c r="I26" t="s">
        <v>47</v>
      </c>
      <c r="K26">
        <v>11300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E1A7D-1896-44E7-B04A-560320D67756}">
  <dimension ref="B1:E18"/>
  <sheetViews>
    <sheetView topLeftCell="A5" zoomScale="150" zoomScaleNormal="150" workbookViewId="0">
      <selection activeCell="B1" sqref="B1:B18"/>
    </sheetView>
  </sheetViews>
  <sheetFormatPr baseColWidth="10" defaultRowHeight="14.4" x14ac:dyDescent="0.3"/>
  <cols>
    <col min="2" max="2" width="46.109375" customWidth="1"/>
  </cols>
  <sheetData>
    <row r="1" spans="2:5" x14ac:dyDescent="0.3">
      <c r="B1" s="1" t="s">
        <v>99</v>
      </c>
    </row>
    <row r="2" spans="2:5" x14ac:dyDescent="0.3">
      <c r="B2" s="29" t="s">
        <v>91</v>
      </c>
    </row>
    <row r="3" spans="2:5" x14ac:dyDescent="0.3">
      <c r="B3" s="29" t="s">
        <v>92</v>
      </c>
    </row>
    <row r="4" spans="2:5" x14ac:dyDescent="0.3">
      <c r="B4" s="29" t="s">
        <v>100</v>
      </c>
    </row>
    <row r="5" spans="2:5" x14ac:dyDescent="0.3">
      <c r="B5" s="29" t="s">
        <v>93</v>
      </c>
    </row>
    <row r="6" spans="2:5" ht="15.6" x14ac:dyDescent="0.3">
      <c r="B6" s="30" t="s">
        <v>101</v>
      </c>
    </row>
    <row r="7" spans="2:5" x14ac:dyDescent="0.3">
      <c r="B7" s="31" t="s">
        <v>94</v>
      </c>
    </row>
    <row r="8" spans="2:5" x14ac:dyDescent="0.3">
      <c r="B8" s="29" t="s">
        <v>103</v>
      </c>
    </row>
    <row r="9" spans="2:5" x14ac:dyDescent="0.3">
      <c r="B9" s="29" t="s">
        <v>95</v>
      </c>
    </row>
    <row r="10" spans="2:5" x14ac:dyDescent="0.3">
      <c r="B10" s="29" t="s">
        <v>96</v>
      </c>
    </row>
    <row r="11" spans="2:5" x14ac:dyDescent="0.3">
      <c r="B11" s="29" t="s">
        <v>102</v>
      </c>
    </row>
    <row r="12" spans="2:5" ht="15.6" x14ac:dyDescent="0.3">
      <c r="B12" s="32" t="s">
        <v>97</v>
      </c>
    </row>
    <row r="13" spans="2:5" x14ac:dyDescent="0.3">
      <c r="B13" s="29" t="s">
        <v>104</v>
      </c>
    </row>
    <row r="14" spans="2:5" x14ac:dyDescent="0.3">
      <c r="B14" s="29" t="s">
        <v>105</v>
      </c>
      <c r="D14" t="s">
        <v>190</v>
      </c>
      <c r="E14" t="s">
        <v>191</v>
      </c>
    </row>
    <row r="15" spans="2:5" x14ac:dyDescent="0.3">
      <c r="B15" s="31" t="s">
        <v>98</v>
      </c>
      <c r="C15">
        <v>100000</v>
      </c>
      <c r="D15">
        <v>50000</v>
      </c>
      <c r="E15">
        <f>+C15/D15</f>
        <v>2</v>
      </c>
    </row>
    <row r="16" spans="2:5" x14ac:dyDescent="0.3">
      <c r="B16" s="29" t="s">
        <v>12</v>
      </c>
    </row>
    <row r="17" spans="2:2" x14ac:dyDescent="0.3">
      <c r="B17" s="29" t="s">
        <v>106</v>
      </c>
    </row>
    <row r="18" spans="2:2" x14ac:dyDescent="0.3">
      <c r="B18" s="29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54356-BA0E-4741-B52E-7419E26904D0}">
  <dimension ref="J1:N16"/>
  <sheetViews>
    <sheetView topLeftCell="D1" zoomScale="130" zoomScaleNormal="130" workbookViewId="0">
      <selection activeCell="J8" sqref="J8"/>
    </sheetView>
  </sheetViews>
  <sheetFormatPr baseColWidth="10" defaultRowHeight="14.4" x14ac:dyDescent="0.3"/>
  <cols>
    <col min="10" max="10" width="39.88671875" customWidth="1"/>
    <col min="13" max="13" width="32" customWidth="1"/>
  </cols>
  <sheetData>
    <row r="1" spans="10:14" x14ac:dyDescent="0.3">
      <c r="J1" s="1" t="s">
        <v>0</v>
      </c>
      <c r="M1" s="1" t="s">
        <v>15</v>
      </c>
    </row>
    <row r="3" spans="10:14" x14ac:dyDescent="0.3">
      <c r="J3" t="s">
        <v>1</v>
      </c>
      <c r="K3">
        <v>32</v>
      </c>
      <c r="M3" t="s">
        <v>16</v>
      </c>
      <c r="N3">
        <v>355</v>
      </c>
    </row>
    <row r="4" spans="10:14" x14ac:dyDescent="0.3">
      <c r="J4" t="s">
        <v>2</v>
      </c>
      <c r="K4">
        <v>84</v>
      </c>
      <c r="M4" t="s">
        <v>17</v>
      </c>
      <c r="N4">
        <f>+K16</f>
        <v>264</v>
      </c>
    </row>
    <row r="5" spans="10:14" x14ac:dyDescent="0.3">
      <c r="J5" t="s">
        <v>3</v>
      </c>
      <c r="K5">
        <f>+K3+K4</f>
        <v>116</v>
      </c>
      <c r="M5" t="s">
        <v>18</v>
      </c>
      <c r="N5">
        <f>+N3-N4</f>
        <v>91</v>
      </c>
    </row>
    <row r="6" spans="10:14" x14ac:dyDescent="0.3">
      <c r="J6" t="s">
        <v>4</v>
      </c>
      <c r="K6">
        <v>8</v>
      </c>
      <c r="M6" t="s">
        <v>19</v>
      </c>
      <c r="N6">
        <v>0</v>
      </c>
    </row>
    <row r="7" spans="10:14" ht="21" x14ac:dyDescent="0.4">
      <c r="J7" s="117" t="s">
        <v>5</v>
      </c>
      <c r="K7" s="117">
        <f>+K5-K6</f>
        <v>108</v>
      </c>
      <c r="M7" t="s">
        <v>23</v>
      </c>
      <c r="N7">
        <v>94</v>
      </c>
    </row>
    <row r="8" spans="10:14" x14ac:dyDescent="0.3">
      <c r="J8" t="s">
        <v>6</v>
      </c>
      <c r="K8">
        <v>42</v>
      </c>
      <c r="M8" t="s">
        <v>21</v>
      </c>
      <c r="N8">
        <f>+N5-N7</f>
        <v>-3</v>
      </c>
    </row>
    <row r="9" spans="10:14" x14ac:dyDescent="0.3">
      <c r="J9" t="s">
        <v>7</v>
      </c>
      <c r="K9">
        <v>63</v>
      </c>
    </row>
    <row r="10" spans="10:14" x14ac:dyDescent="0.3">
      <c r="J10" t="s">
        <v>8</v>
      </c>
      <c r="K10">
        <f>+K7+K8+K9</f>
        <v>213</v>
      </c>
    </row>
    <row r="11" spans="10:14" x14ac:dyDescent="0.3">
      <c r="J11" s="83" t="s">
        <v>9</v>
      </c>
      <c r="K11" s="83">
        <v>18</v>
      </c>
    </row>
    <row r="12" spans="10:14" x14ac:dyDescent="0.3">
      <c r="J12" s="83" t="s">
        <v>10</v>
      </c>
      <c r="K12" s="83">
        <v>3</v>
      </c>
    </row>
    <row r="13" spans="10:14" x14ac:dyDescent="0.3">
      <c r="J13" t="s">
        <v>11</v>
      </c>
      <c r="K13">
        <f>+K10+K11-K12</f>
        <v>228</v>
      </c>
    </row>
    <row r="14" spans="10:14" x14ac:dyDescent="0.3">
      <c r="J14" t="s">
        <v>12</v>
      </c>
      <c r="K14">
        <v>47</v>
      </c>
    </row>
    <row r="15" spans="10:14" x14ac:dyDescent="0.3">
      <c r="J15" t="s">
        <v>13</v>
      </c>
      <c r="K15">
        <v>11</v>
      </c>
    </row>
    <row r="16" spans="10:14" x14ac:dyDescent="0.3">
      <c r="J16" t="s">
        <v>14</v>
      </c>
      <c r="K16">
        <f>+K13+K14-K15</f>
        <v>264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284C0-FB61-43A6-92E5-8BE31BDE14C6}">
  <dimension ref="K1:P26"/>
  <sheetViews>
    <sheetView topLeftCell="H1" zoomScale="130" zoomScaleNormal="130" workbookViewId="0">
      <selection activeCell="K2" sqref="K2"/>
    </sheetView>
  </sheetViews>
  <sheetFormatPr baseColWidth="10" defaultRowHeight="14.4" x14ac:dyDescent="0.3"/>
  <cols>
    <col min="11" max="11" width="36.44140625" customWidth="1"/>
    <col min="12" max="12" width="14.5546875" bestFit="1" customWidth="1"/>
    <col min="13" max="13" width="12.5546875" customWidth="1"/>
    <col min="15" max="15" width="30.88671875" customWidth="1"/>
  </cols>
  <sheetData>
    <row r="1" spans="11:16" x14ac:dyDescent="0.3">
      <c r="K1" s="1" t="s">
        <v>0</v>
      </c>
      <c r="L1" s="1"/>
      <c r="M1" s="4"/>
      <c r="O1" t="s">
        <v>22</v>
      </c>
    </row>
    <row r="2" spans="11:16" x14ac:dyDescent="0.3">
      <c r="M2" s="4"/>
    </row>
    <row r="3" spans="11:16" x14ac:dyDescent="0.3">
      <c r="K3" t="s">
        <v>1</v>
      </c>
      <c r="L3" s="4">
        <v>25000</v>
      </c>
      <c r="M3" s="4"/>
      <c r="O3" t="s">
        <v>16</v>
      </c>
      <c r="P3" s="4"/>
    </row>
    <row r="4" spans="11:16" x14ac:dyDescent="0.3">
      <c r="K4" t="s">
        <v>2</v>
      </c>
      <c r="L4" s="4">
        <v>240000</v>
      </c>
      <c r="M4" s="4"/>
      <c r="O4" t="s">
        <v>17</v>
      </c>
      <c r="P4" s="6">
        <f>+M20</f>
        <v>0</v>
      </c>
    </row>
    <row r="5" spans="11:16" x14ac:dyDescent="0.3">
      <c r="K5" t="s">
        <v>3</v>
      </c>
      <c r="L5" s="6">
        <f>+L3+L4</f>
        <v>265000</v>
      </c>
      <c r="M5" s="4"/>
      <c r="O5" t="s">
        <v>18</v>
      </c>
      <c r="P5" s="6">
        <f>+P3-P4</f>
        <v>0</v>
      </c>
    </row>
    <row r="6" spans="11:16" x14ac:dyDescent="0.3">
      <c r="K6" t="s">
        <v>4</v>
      </c>
      <c r="L6" s="8">
        <f>+L5-L7</f>
        <v>85000</v>
      </c>
      <c r="M6" s="4"/>
      <c r="O6" t="s">
        <v>19</v>
      </c>
      <c r="P6" s="4"/>
    </row>
    <row r="7" spans="11:16" x14ac:dyDescent="0.3">
      <c r="K7" t="s">
        <v>5</v>
      </c>
      <c r="L7" s="11">
        <f>+L10-L8</f>
        <v>180000</v>
      </c>
      <c r="M7" s="4"/>
      <c r="O7" t="s">
        <v>23</v>
      </c>
      <c r="P7" s="4"/>
    </row>
    <row r="8" spans="11:16" x14ac:dyDescent="0.3">
      <c r="K8" t="s">
        <v>6</v>
      </c>
      <c r="L8" s="132">
        <v>660000</v>
      </c>
      <c r="M8" s="4"/>
      <c r="O8" t="s">
        <v>21</v>
      </c>
      <c r="P8" s="6">
        <f>+P5-P6-P7</f>
        <v>0</v>
      </c>
    </row>
    <row r="9" spans="11:16" x14ac:dyDescent="0.3">
      <c r="K9" t="s">
        <v>7</v>
      </c>
      <c r="L9" s="132"/>
      <c r="M9" s="4"/>
    </row>
    <row r="10" spans="11:16" x14ac:dyDescent="0.3">
      <c r="K10" t="s">
        <v>8</v>
      </c>
      <c r="L10" s="4">
        <v>840000</v>
      </c>
      <c r="M10" s="4"/>
    </row>
    <row r="11" spans="11:16" x14ac:dyDescent="0.3">
      <c r="K11" t="s">
        <v>9</v>
      </c>
      <c r="L11" s="4">
        <v>70000</v>
      </c>
      <c r="M11" s="4">
        <f>+L10+L11</f>
        <v>910000</v>
      </c>
    </row>
    <row r="12" spans="11:16" x14ac:dyDescent="0.3">
      <c r="K12" t="s">
        <v>10</v>
      </c>
      <c r="L12" s="7">
        <f>+M11-L13</f>
        <v>190000</v>
      </c>
      <c r="M12" s="4"/>
    </row>
    <row r="13" spans="11:16" x14ac:dyDescent="0.3">
      <c r="K13" t="s">
        <v>11</v>
      </c>
      <c r="L13" s="5">
        <f>+L7*4</f>
        <v>720000</v>
      </c>
      <c r="M13" s="4"/>
    </row>
    <row r="14" spans="11:16" x14ac:dyDescent="0.3">
      <c r="K14" t="s">
        <v>12</v>
      </c>
      <c r="L14" s="4">
        <v>320000</v>
      </c>
      <c r="M14" s="4">
        <f>+L13+L14</f>
        <v>1040000</v>
      </c>
    </row>
    <row r="15" spans="11:16" x14ac:dyDescent="0.3">
      <c r="K15" t="s">
        <v>13</v>
      </c>
      <c r="L15" s="7">
        <f>+M14-L16</f>
        <v>210000</v>
      </c>
      <c r="M15" s="4"/>
    </row>
    <row r="16" spans="11:16" x14ac:dyDescent="0.3">
      <c r="K16" t="s">
        <v>14</v>
      </c>
      <c r="L16" s="10">
        <v>830000</v>
      </c>
      <c r="M16" s="4"/>
    </row>
    <row r="17" spans="11:14" x14ac:dyDescent="0.3">
      <c r="M17" s="4"/>
    </row>
    <row r="18" spans="11:14" x14ac:dyDescent="0.3">
      <c r="K18" t="s">
        <v>16</v>
      </c>
      <c r="L18" s="4">
        <v>1037500</v>
      </c>
      <c r="M18" s="4"/>
    </row>
    <row r="19" spans="11:14" x14ac:dyDescent="0.3">
      <c r="K19" t="s">
        <v>24</v>
      </c>
      <c r="L19" s="9">
        <f>+L18-L20</f>
        <v>830000</v>
      </c>
      <c r="M19" s="4"/>
    </row>
    <row r="20" spans="11:14" x14ac:dyDescent="0.3">
      <c r="K20" t="s">
        <v>25</v>
      </c>
      <c r="L20" s="3">
        <f>+L18*0.2</f>
        <v>207500</v>
      </c>
      <c r="M20" s="5"/>
    </row>
    <row r="22" spans="11:14" x14ac:dyDescent="0.3">
      <c r="K22" t="s">
        <v>48</v>
      </c>
    </row>
    <row r="23" spans="11:14" x14ac:dyDescent="0.3">
      <c r="K23" t="s">
        <v>49</v>
      </c>
    </row>
    <row r="25" spans="11:14" x14ac:dyDescent="0.3">
      <c r="K25" t="s">
        <v>50</v>
      </c>
      <c r="L25" s="18" t="s">
        <v>51</v>
      </c>
      <c r="M25">
        <v>720000</v>
      </c>
      <c r="N25">
        <f>+M25/M26</f>
        <v>14.4</v>
      </c>
    </row>
    <row r="26" spans="11:14" x14ac:dyDescent="0.3">
      <c r="L26" t="s">
        <v>52</v>
      </c>
      <c r="M26">
        <v>50000</v>
      </c>
    </row>
  </sheetData>
  <mergeCells count="1">
    <mergeCell ref="L8:L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50DEF-74C5-48E2-B5F4-470B940F9F2E}">
  <dimension ref="A1"/>
  <sheetViews>
    <sheetView topLeftCell="A5" workbookViewId="0">
      <selection activeCell="J13" sqref="J13"/>
    </sheetView>
  </sheetViews>
  <sheetFormatPr baseColWidth="10" defaultRowHeight="14.4" x14ac:dyDescent="0.3"/>
  <cols>
    <col min="10" max="10" width="31.6640625" customWidth="1"/>
  </cols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768B8-3301-462D-BBB9-FA3F91D3DFFA}">
  <dimension ref="B2:E46"/>
  <sheetViews>
    <sheetView workbookViewId="0">
      <selection activeCell="E15" sqref="E15"/>
    </sheetView>
  </sheetViews>
  <sheetFormatPr baseColWidth="10" defaultRowHeight="14.4" x14ac:dyDescent="0.3"/>
  <cols>
    <col min="2" max="2" width="42.88671875" bestFit="1" customWidth="1"/>
  </cols>
  <sheetData>
    <row r="2" spans="2:4" x14ac:dyDescent="0.3">
      <c r="B2" s="12" t="s">
        <v>26</v>
      </c>
      <c r="C2" s="13">
        <v>65</v>
      </c>
    </row>
    <row r="3" spans="2:4" x14ac:dyDescent="0.3">
      <c r="B3" s="13" t="s">
        <v>27</v>
      </c>
      <c r="C3" s="14" t="s">
        <v>28</v>
      </c>
    </row>
    <row r="4" spans="2:4" x14ac:dyDescent="0.3">
      <c r="B4" s="12" t="s">
        <v>29</v>
      </c>
      <c r="C4" s="13">
        <v>193</v>
      </c>
    </row>
    <row r="5" spans="2:4" x14ac:dyDescent="0.3">
      <c r="B5" s="12" t="s">
        <v>30</v>
      </c>
      <c r="C5" s="13">
        <v>34</v>
      </c>
    </row>
    <row r="6" spans="2:4" x14ac:dyDescent="0.3">
      <c r="B6" s="12" t="s">
        <v>31</v>
      </c>
      <c r="C6" s="14" t="s">
        <v>28</v>
      </c>
    </row>
    <row r="7" spans="2:4" x14ac:dyDescent="0.3">
      <c r="B7" s="13" t="s">
        <v>32</v>
      </c>
      <c r="C7" s="13">
        <v>106</v>
      </c>
    </row>
    <row r="8" spans="2:4" x14ac:dyDescent="0.3">
      <c r="B8" s="12" t="s">
        <v>33</v>
      </c>
      <c r="C8" s="13"/>
    </row>
    <row r="9" spans="2:4" x14ac:dyDescent="0.3">
      <c r="B9" s="12" t="s">
        <v>34</v>
      </c>
      <c r="C9" s="13">
        <v>48</v>
      </c>
    </row>
    <row r="10" spans="2:4" x14ac:dyDescent="0.3">
      <c r="B10" s="12" t="s">
        <v>35</v>
      </c>
      <c r="C10" s="13">
        <v>14</v>
      </c>
    </row>
    <row r="11" spans="2:4" x14ac:dyDescent="0.3">
      <c r="B11" s="12" t="s">
        <v>36</v>
      </c>
      <c r="C11" s="13">
        <v>21</v>
      </c>
    </row>
    <row r="12" spans="2:4" x14ac:dyDescent="0.3">
      <c r="B12" s="12" t="s">
        <v>37</v>
      </c>
      <c r="C12" s="13">
        <v>12</v>
      </c>
    </row>
    <row r="13" spans="2:4" x14ac:dyDescent="0.3">
      <c r="B13" s="12" t="s">
        <v>38</v>
      </c>
      <c r="C13" s="13">
        <v>8</v>
      </c>
    </row>
    <row r="14" spans="2:4" x14ac:dyDescent="0.3">
      <c r="B14" s="12" t="s">
        <v>39</v>
      </c>
      <c r="C14" s="13">
        <v>368</v>
      </c>
    </row>
    <row r="15" spans="2:4" x14ac:dyDescent="0.3">
      <c r="B15" s="12" t="s">
        <v>40</v>
      </c>
      <c r="C15" s="14" t="s">
        <v>28</v>
      </c>
    </row>
    <row r="16" spans="2:4" x14ac:dyDescent="0.3">
      <c r="B16" s="12" t="s">
        <v>41</v>
      </c>
      <c r="C16" s="13">
        <v>72</v>
      </c>
      <c r="D16" s="15"/>
    </row>
    <row r="17" spans="2:5" x14ac:dyDescent="0.3">
      <c r="B17" s="13" t="s">
        <v>42</v>
      </c>
      <c r="C17" s="13">
        <v>379</v>
      </c>
      <c r="E17" s="15"/>
    </row>
    <row r="18" spans="2:5" x14ac:dyDescent="0.3">
      <c r="B18" s="12" t="s">
        <v>43</v>
      </c>
      <c r="C18" s="13">
        <v>123</v>
      </c>
    </row>
    <row r="19" spans="2:5" x14ac:dyDescent="0.3">
      <c r="B19" s="12" t="s">
        <v>44</v>
      </c>
      <c r="C19" s="14" t="s">
        <v>28</v>
      </c>
    </row>
    <row r="20" spans="2:5" x14ac:dyDescent="0.3">
      <c r="B20" s="12" t="s">
        <v>45</v>
      </c>
      <c r="C20" s="16" t="s">
        <v>28</v>
      </c>
    </row>
    <row r="21" spans="2:5" x14ac:dyDescent="0.3">
      <c r="B21" s="12" t="s">
        <v>46</v>
      </c>
      <c r="C21" s="17">
        <v>600</v>
      </c>
    </row>
    <row r="22" spans="2:5" x14ac:dyDescent="0.3">
      <c r="B22" s="12" t="s">
        <v>47</v>
      </c>
      <c r="C22" s="17">
        <v>200</v>
      </c>
    </row>
    <row r="23" spans="2:5" x14ac:dyDescent="0.3">
      <c r="C23" s="15"/>
    </row>
    <row r="24" spans="2:5" x14ac:dyDescent="0.3">
      <c r="C24" s="15"/>
    </row>
    <row r="25" spans="2:5" x14ac:dyDescent="0.3">
      <c r="C25" s="15"/>
    </row>
    <row r="26" spans="2:5" x14ac:dyDescent="0.3">
      <c r="B26" s="13" t="s">
        <v>27</v>
      </c>
      <c r="C26" s="14" t="s">
        <v>28</v>
      </c>
    </row>
    <row r="27" spans="2:5" x14ac:dyDescent="0.3">
      <c r="B27" s="13" t="s">
        <v>42</v>
      </c>
      <c r="C27" s="13">
        <v>379</v>
      </c>
    </row>
    <row r="28" spans="2:5" x14ac:dyDescent="0.3">
      <c r="B28" s="12" t="s">
        <v>45</v>
      </c>
      <c r="C28" s="17" t="s">
        <v>28</v>
      </c>
    </row>
    <row r="29" spans="2:5" x14ac:dyDescent="0.3">
      <c r="B29" s="12" t="s">
        <v>39</v>
      </c>
      <c r="C29" s="13">
        <v>368</v>
      </c>
    </row>
    <row r="30" spans="2:5" x14ac:dyDescent="0.3">
      <c r="B30" s="12" t="s">
        <v>33</v>
      </c>
      <c r="C30" s="13">
        <v>103</v>
      </c>
    </row>
    <row r="31" spans="2:5" x14ac:dyDescent="0.3">
      <c r="B31" s="12" t="s">
        <v>36</v>
      </c>
      <c r="C31" s="13">
        <v>21</v>
      </c>
    </row>
    <row r="32" spans="2:5" x14ac:dyDescent="0.3">
      <c r="B32" s="12" t="s">
        <v>46</v>
      </c>
      <c r="C32" s="17">
        <v>600</v>
      </c>
    </row>
    <row r="33" spans="2:3" x14ac:dyDescent="0.3">
      <c r="B33" s="12" t="s">
        <v>26</v>
      </c>
      <c r="C33" s="13">
        <v>65</v>
      </c>
    </row>
    <row r="34" spans="2:3" x14ac:dyDescent="0.3">
      <c r="B34" s="12" t="s">
        <v>30</v>
      </c>
      <c r="C34" s="13">
        <v>34</v>
      </c>
    </row>
    <row r="35" spans="2:3" x14ac:dyDescent="0.3">
      <c r="B35" s="12" t="s">
        <v>43</v>
      </c>
      <c r="C35" s="13">
        <v>123</v>
      </c>
    </row>
    <row r="36" spans="2:3" x14ac:dyDescent="0.3">
      <c r="B36" s="12" t="s">
        <v>40</v>
      </c>
      <c r="C36" s="14" t="s">
        <v>28</v>
      </c>
    </row>
    <row r="37" spans="2:3" x14ac:dyDescent="0.3">
      <c r="B37" s="12" t="s">
        <v>41</v>
      </c>
      <c r="C37" s="13">
        <v>72</v>
      </c>
    </row>
    <row r="38" spans="2:3" x14ac:dyDescent="0.3">
      <c r="B38" s="12" t="s">
        <v>44</v>
      </c>
      <c r="C38" s="14" t="s">
        <v>28</v>
      </c>
    </row>
    <row r="39" spans="2:3" x14ac:dyDescent="0.3">
      <c r="B39" s="13" t="s">
        <v>32</v>
      </c>
      <c r="C39" s="13">
        <v>106</v>
      </c>
    </row>
    <row r="40" spans="2:3" x14ac:dyDescent="0.3">
      <c r="B40" s="12" t="s">
        <v>34</v>
      </c>
      <c r="C40" s="13">
        <v>48</v>
      </c>
    </row>
    <row r="41" spans="2:3" x14ac:dyDescent="0.3">
      <c r="B41" s="12" t="s">
        <v>38</v>
      </c>
      <c r="C41" s="13">
        <v>8</v>
      </c>
    </row>
    <row r="42" spans="2:3" x14ac:dyDescent="0.3">
      <c r="B42" s="12" t="s">
        <v>29</v>
      </c>
      <c r="C42" s="13">
        <v>193</v>
      </c>
    </row>
    <row r="43" spans="2:3" x14ac:dyDescent="0.3">
      <c r="B43" s="12" t="s">
        <v>31</v>
      </c>
      <c r="C43" s="14" t="s">
        <v>28</v>
      </c>
    </row>
    <row r="44" spans="2:3" x14ac:dyDescent="0.3">
      <c r="B44" s="12" t="s">
        <v>35</v>
      </c>
      <c r="C44" s="13">
        <v>14</v>
      </c>
    </row>
    <row r="45" spans="2:3" x14ac:dyDescent="0.3">
      <c r="B45" s="12" t="s">
        <v>37</v>
      </c>
      <c r="C45" s="13">
        <v>12</v>
      </c>
    </row>
    <row r="46" spans="2:3" x14ac:dyDescent="0.3">
      <c r="B46" s="12" t="s">
        <v>47</v>
      </c>
      <c r="C46" s="17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Hoja1</vt:lpstr>
      <vt:lpstr>Hoja7</vt:lpstr>
      <vt:lpstr>Hoja9</vt:lpstr>
      <vt:lpstr>Hoja10</vt:lpstr>
      <vt:lpstr>Hoja8</vt:lpstr>
      <vt:lpstr>Hoja3</vt:lpstr>
      <vt:lpstr>Hoja4</vt:lpstr>
      <vt:lpstr>TAREA1</vt:lpstr>
      <vt:lpstr>TAREA2</vt:lpstr>
      <vt:lpstr>UE</vt:lpstr>
      <vt:lpstr>UE1</vt:lpstr>
      <vt:lpstr>ejmeUE</vt:lpstr>
      <vt:lpstr>EJECostos </vt:lpstr>
      <vt:lpstr>MPD</vt:lpstr>
      <vt:lpstr>MOD</vt:lpstr>
      <vt:lpstr>CIF</vt:lpstr>
      <vt:lpstr>Hoja5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aula</dc:creator>
  <cp:lastModifiedBy>E. Fabian Suarez C.</cp:lastModifiedBy>
  <dcterms:created xsi:type="dcterms:W3CDTF">2021-11-30T13:24:09Z</dcterms:created>
  <dcterms:modified xsi:type="dcterms:W3CDTF">2026-06-06T02:54:50Z</dcterms:modified>
</cp:coreProperties>
</file>