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5990030586641831936/WOPIServiceId_TP_DROPBOX_PLUS/WOPIUserId_-/"/>
    </mc:Choice>
  </mc:AlternateContent>
  <xr:revisionPtr revIDLastSave="46" documentId="11_D665B7211A7BF5B9F362B73DE5BC397F93B4398B" xr6:coauthVersionLast="47" xr6:coauthVersionMax="47" xr10:uidLastSave="{D070A749-E03B-4968-925E-2CCEAB96E6C7}"/>
  <bookViews>
    <workbookView xWindow="-108" yWindow="-108" windowWidth="23256" windowHeight="12456" activeTab="1" xr2:uid="{00000000-000D-0000-FFFF-FFFF00000000}"/>
  </bookViews>
  <sheets>
    <sheet name="Parametros" sheetId="1" r:id="rId1"/>
    <sheet name="Demanda" sheetId="2" r:id="rId2"/>
    <sheet name="Cajas" sheetId="3" r:id="rId3"/>
    <sheet name="Plan" sheetId="4" r:id="rId4"/>
    <sheet name="Resume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  <c r="F11" i="5"/>
  <c r="C11" i="5"/>
  <c r="G11" i="5" s="1"/>
  <c r="H11" i="5" s="1"/>
  <c r="A11" i="5"/>
  <c r="I10" i="5"/>
  <c r="F10" i="5"/>
  <c r="C10" i="5"/>
  <c r="A10" i="5"/>
  <c r="I9" i="5"/>
  <c r="F9" i="5"/>
  <c r="C9" i="5"/>
  <c r="E9" i="5" s="1"/>
  <c r="A9" i="5"/>
  <c r="I8" i="5"/>
  <c r="F8" i="5"/>
  <c r="C8" i="5"/>
  <c r="D8" i="5" s="1"/>
  <c r="A8" i="5"/>
  <c r="I7" i="5"/>
  <c r="F7" i="5"/>
  <c r="C7" i="5"/>
  <c r="E7" i="5" s="1"/>
  <c r="A7" i="5"/>
  <c r="I6" i="5"/>
  <c r="F6" i="5"/>
  <c r="C6" i="5"/>
  <c r="D6" i="5" s="1"/>
  <c r="A6" i="5"/>
  <c r="I5" i="5"/>
  <c r="F5" i="5"/>
  <c r="C5" i="5"/>
  <c r="G5" i="5" s="1"/>
  <c r="H5" i="5" s="1"/>
  <c r="A5" i="5"/>
  <c r="I4" i="5"/>
  <c r="F4" i="5"/>
  <c r="C4" i="5"/>
  <c r="D4" i="5" s="1"/>
  <c r="A4" i="5"/>
  <c r="I3" i="5"/>
  <c r="F3" i="5"/>
  <c r="C3" i="5"/>
  <c r="D3" i="5" s="1"/>
  <c r="A3" i="5"/>
  <c r="J5" i="4"/>
  <c r="F5" i="4"/>
  <c r="G5" i="4" s="1"/>
  <c r="E5" i="4"/>
  <c r="D5" i="4"/>
  <c r="C5" i="4"/>
  <c r="A5" i="4"/>
  <c r="J4" i="4"/>
  <c r="F4" i="4"/>
  <c r="G4" i="4" s="1"/>
  <c r="E4" i="4"/>
  <c r="D4" i="4"/>
  <c r="C4" i="4"/>
  <c r="A4" i="4"/>
  <c r="J3" i="4"/>
  <c r="E3" i="4"/>
  <c r="D3" i="4"/>
  <c r="C3" i="4"/>
  <c r="F3" i="4" s="1"/>
  <c r="G3" i="4" s="1"/>
  <c r="A3" i="4"/>
  <c r="E5" i="3"/>
  <c r="E4" i="3"/>
  <c r="H5" i="4" s="1"/>
  <c r="E3" i="3"/>
  <c r="E5" i="2"/>
  <c r="H5" i="2" s="1"/>
  <c r="E4" i="2"/>
  <c r="H4" i="2" s="1"/>
  <c r="E3" i="2"/>
  <c r="H3" i="2" s="1"/>
  <c r="E10" i="5" l="1"/>
  <c r="D10" i="5"/>
  <c r="J10" i="5" s="1"/>
  <c r="D11" i="5"/>
  <c r="G10" i="5"/>
  <c r="H10" i="5" s="1"/>
  <c r="K5" i="4"/>
  <c r="L5" i="4" s="1"/>
  <c r="M5" i="4" s="1"/>
  <c r="I5" i="4"/>
  <c r="D9" i="5"/>
  <c r="G9" i="5"/>
  <c r="H9" i="5" s="1"/>
  <c r="I4" i="4"/>
  <c r="K4" i="4"/>
  <c r="L4" i="4" s="1"/>
  <c r="M4" i="4" s="1"/>
  <c r="E3" i="5"/>
  <c r="G3" i="5"/>
  <c r="H3" i="5" s="1"/>
  <c r="J3" i="5" s="1"/>
  <c r="K3" i="5" s="1"/>
  <c r="K3" i="4"/>
  <c r="L3" i="4" s="1"/>
  <c r="M3" i="4" s="1"/>
  <c r="E4" i="5"/>
  <c r="G4" i="5"/>
  <c r="H4" i="5" s="1"/>
  <c r="J4" i="5" s="1"/>
  <c r="K4" i="5" s="1"/>
  <c r="E6" i="5"/>
  <c r="G8" i="5"/>
  <c r="H8" i="5" s="1"/>
  <c r="J8" i="5" s="1"/>
  <c r="K8" i="5" s="1"/>
  <c r="E5" i="5"/>
  <c r="G6" i="5"/>
  <c r="H6" i="5" s="1"/>
  <c r="J6" i="5" s="1"/>
  <c r="K6" i="5" s="1"/>
  <c r="G7" i="5"/>
  <c r="H7" i="5" s="1"/>
  <c r="E8" i="5"/>
  <c r="D7" i="5"/>
  <c r="D5" i="5"/>
  <c r="E11" i="5"/>
  <c r="H3" i="4"/>
  <c r="I3" i="4" s="1"/>
  <c r="H4" i="4"/>
  <c r="K11" i="5" l="1"/>
  <c r="K10" i="5"/>
  <c r="K9" i="5"/>
  <c r="J11" i="5"/>
  <c r="J9" i="5"/>
  <c r="M9" i="5" s="1"/>
  <c r="L6" i="5"/>
  <c r="M6" i="5"/>
  <c r="J5" i="5"/>
  <c r="M3" i="5" s="1"/>
  <c r="J7" i="5"/>
  <c r="K7" i="5" s="1"/>
  <c r="L9" i="5" l="1"/>
  <c r="K5" i="5"/>
  <c r="L3" i="5"/>
</calcChain>
</file>

<file path=xl/sharedStrings.xml><?xml version="1.0" encoding="utf-8"?>
<sst xmlns="http://schemas.openxmlformats.org/spreadsheetml/2006/main" count="75" uniqueCount="54">
  <si>
    <t>Actividad 7 — Caso Logístico: El contenedor más eficiente (Trabajo en plataforma: 80 min)</t>
  </si>
  <si>
    <t>Tarifa base por caja (USD)</t>
  </si>
  <si>
    <t>Tarifa por kg (USD/kg)</t>
  </si>
  <si>
    <t>IVA %</t>
  </si>
  <si>
    <t>Ocupación mínima sugerida</t>
  </si>
  <si>
    <t>Cifras significativas sugeridas</t>
  </si>
  <si>
    <t>Demanda y características de producto (unidades separadas por SKU)</t>
  </si>
  <si>
    <t>SKU</t>
  </si>
  <si>
    <t>Largo (cm)</t>
  </si>
  <si>
    <t>Ancho (cm)</t>
  </si>
  <si>
    <t>Alto (cm)</t>
  </si>
  <si>
    <t>Vol unit (cm³)</t>
  </si>
  <si>
    <t>Masa unit (kg)</t>
  </si>
  <si>
    <t>Unidades solicitadas</t>
  </si>
  <si>
    <t>Vol unit (L)</t>
  </si>
  <si>
    <t>Notas</t>
  </si>
  <si>
    <t>A</t>
  </si>
  <si>
    <t>B</t>
  </si>
  <si>
    <t>C</t>
  </si>
  <si>
    <t>Catálogo de cajas (dimensiones internas)</t>
  </si>
  <si>
    <t>Caja</t>
  </si>
  <si>
    <t>Vol caja (cm³)</t>
  </si>
  <si>
    <t>Peso caja (kg)</t>
  </si>
  <si>
    <t>Costo caja (USD)</t>
  </si>
  <si>
    <t>Box S</t>
  </si>
  <si>
    <t>Pequeña</t>
  </si>
  <si>
    <t>Box M</t>
  </si>
  <si>
    <t>Mediana</t>
  </si>
  <si>
    <t>Box L</t>
  </si>
  <si>
    <t>Grande</t>
  </si>
  <si>
    <t>Caja elegida</t>
  </si>
  <si>
    <t>L_box</t>
  </si>
  <si>
    <t>A_box</t>
  </si>
  <si>
    <t>H_box</t>
  </si>
  <si>
    <t>Unid/box</t>
  </si>
  <si>
    <t>Cajas necesarias</t>
  </si>
  <si>
    <t>Vol box (cm³)</t>
  </si>
  <si>
    <t>Ocupación %</t>
  </si>
  <si>
    <t>Masa box (kg)</t>
  </si>
  <si>
    <t>Masa total por caja (kg)</t>
  </si>
  <si>
    <t>Costo envío/caja (USD)</t>
  </si>
  <si>
    <t>Costo total SKU (USD)</t>
  </si>
  <si>
    <t>Resumen y recomendación automática por SKU</t>
  </si>
  <si>
    <t>Caja candidata</t>
  </si>
  <si>
    <t>Masa caja (kg)</t>
  </si>
  <si>
    <t>Masa total/caja (kg)</t>
  </si>
  <si>
    <t>Costo caja+IVA (USD)</t>
  </si>
  <si>
    <t>Costo por unidad (USD)</t>
  </si>
  <si>
    <t>Caja recomendada</t>
  </si>
  <si>
    <t>Costo recomendado (USD)</t>
  </si>
  <si>
    <t>ID Producto</t>
  </si>
  <si>
    <t>Costo total ITEM (USD)</t>
  </si>
  <si>
    <t>ID</t>
  </si>
  <si>
    <t>Plan por ID (elección manual de caja)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</si>
</sst>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0" fillId="0" borderId="1" xfId="0" applyBorder="1"/>
    <xf numFmtId="10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0" fontId="1" fillId="0" borderId="0" xfId="0" applyFont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E13" sqref="E13"/>
    </sheetView>
  </sheetViews>
  <sheetFormatPr defaultRowHeight="14.4" x14ac:dyDescent="0.3"/>
  <cols>
    <col min="1" max="1" width="36" customWidth="1"/>
    <col min="2" max="2" width="16" customWidth="1"/>
  </cols>
  <sheetData>
    <row r="1" spans="1:8" ht="18" x14ac:dyDescent="0.35">
      <c r="A1" s="10" t="s">
        <v>0</v>
      </c>
      <c r="B1" s="11"/>
      <c r="C1" s="11"/>
      <c r="D1" s="11"/>
      <c r="E1" s="11"/>
      <c r="F1" s="11"/>
      <c r="G1" s="11"/>
      <c r="H1" s="11"/>
    </row>
    <row r="3" spans="1:8" x14ac:dyDescent="0.3">
      <c r="A3" s="1" t="s">
        <v>1</v>
      </c>
      <c r="B3" s="2">
        <v>2.5</v>
      </c>
    </row>
    <row r="4" spans="1:8" x14ac:dyDescent="0.3">
      <c r="A4" s="1" t="s">
        <v>2</v>
      </c>
      <c r="B4" s="2">
        <v>1.2</v>
      </c>
    </row>
    <row r="5" spans="1:8" x14ac:dyDescent="0.3">
      <c r="A5" s="1" t="s">
        <v>3</v>
      </c>
      <c r="B5" s="3">
        <v>0.15</v>
      </c>
    </row>
    <row r="7" spans="1:8" x14ac:dyDescent="0.3">
      <c r="A7" s="1" t="s">
        <v>4</v>
      </c>
      <c r="B7" s="3">
        <v>0.6</v>
      </c>
    </row>
    <row r="8" spans="1:8" x14ac:dyDescent="0.3">
      <c r="A8" s="1" t="s">
        <v>5</v>
      </c>
      <c r="B8" s="2">
        <v>3</v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abSelected="1" workbookViewId="0">
      <pane ySplit="2" topLeftCell="A3" activePane="bottomLeft" state="frozen"/>
      <selection pane="bottomLeft" activeCell="G3" sqref="G3"/>
    </sheetView>
  </sheetViews>
  <sheetFormatPr defaultRowHeight="14.4" x14ac:dyDescent="0.3"/>
  <cols>
    <col min="1" max="1" width="10" customWidth="1"/>
    <col min="2" max="4" width="12" customWidth="1"/>
    <col min="5" max="5" width="16" customWidth="1"/>
    <col min="6" max="6" width="14" customWidth="1"/>
    <col min="7" max="7" width="18" customWidth="1"/>
    <col min="8" max="8" width="14" customWidth="1"/>
    <col min="9" max="9" width="22" customWidth="1"/>
  </cols>
  <sheetData>
    <row r="1" spans="1:9" ht="17.399999999999999" x14ac:dyDescent="0.35">
      <c r="A1" s="12" t="s">
        <v>6</v>
      </c>
      <c r="B1" s="11"/>
      <c r="C1" s="11"/>
      <c r="D1" s="11"/>
      <c r="E1" s="11"/>
      <c r="F1" s="11"/>
      <c r="G1" s="11"/>
      <c r="H1" s="11"/>
      <c r="I1" s="11"/>
    </row>
    <row r="2" spans="1:9" ht="28.8" x14ac:dyDescent="0.3">
      <c r="A2" s="4" t="s">
        <v>50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 x14ac:dyDescent="0.3">
      <c r="A3" s="2" t="s">
        <v>16</v>
      </c>
      <c r="B3" s="2"/>
      <c r="C3" s="2"/>
      <c r="D3" s="2"/>
      <c r="E3" s="5">
        <f>B3*C3*D3</f>
        <v>0</v>
      </c>
      <c r="F3" s="6"/>
      <c r="G3" s="7"/>
      <c r="H3" s="8">
        <f>E3/1000</f>
        <v>0</v>
      </c>
      <c r="I3" s="2"/>
    </row>
    <row r="4" spans="1:9" x14ac:dyDescent="0.3">
      <c r="A4" s="2" t="s">
        <v>17</v>
      </c>
      <c r="B4" s="2"/>
      <c r="C4" s="2"/>
      <c r="D4" s="2"/>
      <c r="E4" s="5">
        <f>B4*C4*D4</f>
        <v>0</v>
      </c>
      <c r="F4" s="6"/>
      <c r="G4" s="7"/>
      <c r="H4" s="8">
        <f>E4/1000</f>
        <v>0</v>
      </c>
      <c r="I4" s="2"/>
    </row>
    <row r="5" spans="1:9" x14ac:dyDescent="0.3">
      <c r="A5" s="2" t="s">
        <v>18</v>
      </c>
      <c r="B5" s="2"/>
      <c r="C5" s="2"/>
      <c r="D5" s="2"/>
      <c r="E5" s="5">
        <f>B5*C5*D5</f>
        <v>0</v>
      </c>
      <c r="F5" s="6"/>
      <c r="G5" s="7"/>
      <c r="H5" s="8">
        <f>E5/1000</f>
        <v>0</v>
      </c>
      <c r="I5" s="2"/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pane ySplit="2" topLeftCell="A3" activePane="bottomLeft" state="frozen"/>
      <selection pane="bottomLeft" sqref="A1:H1"/>
    </sheetView>
  </sheetViews>
  <sheetFormatPr defaultRowHeight="14.4" x14ac:dyDescent="0.3"/>
  <cols>
    <col min="1" max="4" width="12" customWidth="1"/>
    <col min="5" max="5" width="16" customWidth="1"/>
    <col min="6" max="6" width="14" customWidth="1"/>
    <col min="7" max="7" width="16" customWidth="1"/>
    <col min="8" max="8" width="20" customWidth="1"/>
  </cols>
  <sheetData>
    <row r="1" spans="1:8" ht="17.399999999999999" x14ac:dyDescent="0.35">
      <c r="A1" s="12" t="s">
        <v>19</v>
      </c>
      <c r="B1" s="11"/>
      <c r="C1" s="11"/>
      <c r="D1" s="11"/>
      <c r="E1" s="11"/>
      <c r="F1" s="11"/>
      <c r="G1" s="11"/>
      <c r="H1" s="11"/>
    </row>
    <row r="2" spans="1:8" x14ac:dyDescent="0.3">
      <c r="A2" s="4" t="s">
        <v>20</v>
      </c>
      <c r="B2" s="4" t="s">
        <v>8</v>
      </c>
      <c r="C2" s="4" t="s">
        <v>9</v>
      </c>
      <c r="D2" s="4" t="s">
        <v>10</v>
      </c>
      <c r="E2" s="4" t="s">
        <v>21</v>
      </c>
      <c r="F2" s="4" t="s">
        <v>22</v>
      </c>
      <c r="G2" s="4" t="s">
        <v>23</v>
      </c>
      <c r="H2" s="4" t="s">
        <v>15</v>
      </c>
    </row>
    <row r="3" spans="1:8" x14ac:dyDescent="0.3">
      <c r="A3" s="2" t="s">
        <v>24</v>
      </c>
      <c r="B3" s="2">
        <v>25</v>
      </c>
      <c r="C3" s="2">
        <v>20</v>
      </c>
      <c r="D3" s="2">
        <v>15</v>
      </c>
      <c r="E3" s="5">
        <f>B3*C3*D3</f>
        <v>7500</v>
      </c>
      <c r="F3" s="6">
        <v>0.2</v>
      </c>
      <c r="G3" s="9">
        <v>0.35</v>
      </c>
      <c r="H3" s="2" t="s">
        <v>25</v>
      </c>
    </row>
    <row r="4" spans="1:8" x14ac:dyDescent="0.3">
      <c r="A4" s="2" t="s">
        <v>26</v>
      </c>
      <c r="B4" s="2">
        <v>35</v>
      </c>
      <c r="C4" s="2">
        <v>25</v>
      </c>
      <c r="D4" s="2">
        <v>20</v>
      </c>
      <c r="E4" s="5">
        <f>B4*C4*D4</f>
        <v>17500</v>
      </c>
      <c r="F4" s="6">
        <v>0.3</v>
      </c>
      <c r="G4" s="9">
        <v>0.5</v>
      </c>
      <c r="H4" s="2" t="s">
        <v>27</v>
      </c>
    </row>
    <row r="5" spans="1:8" x14ac:dyDescent="0.3">
      <c r="A5" s="2" t="s">
        <v>28</v>
      </c>
      <c r="B5" s="2">
        <v>45</v>
      </c>
      <c r="C5" s="2">
        <v>30</v>
      </c>
      <c r="D5" s="2">
        <v>25</v>
      </c>
      <c r="E5" s="5">
        <f>B5*C5*D5</f>
        <v>33750</v>
      </c>
      <c r="F5" s="6">
        <v>0.45</v>
      </c>
      <c r="G5" s="9">
        <v>0.7</v>
      </c>
      <c r="H5" s="2" t="s">
        <v>29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workbookViewId="0">
      <pane ySplit="2" topLeftCell="A3" activePane="bottomLeft" state="frozen"/>
      <selection pane="bottomLeft" activeCell="G3" sqref="C3:G3"/>
    </sheetView>
  </sheetViews>
  <sheetFormatPr defaultRowHeight="14.4" x14ac:dyDescent="0.3"/>
  <cols>
    <col min="1" max="1" width="8" customWidth="1"/>
    <col min="2" max="2" width="14" customWidth="1"/>
    <col min="3" max="5" width="10" customWidth="1"/>
    <col min="6" max="6" width="12" customWidth="1"/>
    <col min="7" max="9" width="14" customWidth="1"/>
    <col min="10" max="10" width="12" customWidth="1"/>
    <col min="11" max="11" width="16" customWidth="1"/>
    <col min="12" max="13" width="18" customWidth="1"/>
  </cols>
  <sheetData>
    <row r="1" spans="1:13" ht="17.399999999999999" x14ac:dyDescent="0.35">
      <c r="A1" s="12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8.8" x14ac:dyDescent="0.3">
      <c r="A2" s="4" t="s">
        <v>52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51</v>
      </c>
    </row>
    <row r="3" spans="1:13" x14ac:dyDescent="0.3">
      <c r="A3" s="2" t="str">
        <f>Demanda!A3</f>
        <v>A</v>
      </c>
      <c r="B3" s="2" t="s">
        <v>24</v>
      </c>
      <c r="C3" s="2">
        <f>INDEX(Cajas!B:B, MATCH(B3, Cajas!A:A, 0))</f>
        <v>25</v>
      </c>
      <c r="D3" s="2">
        <f>INDEX(Cajas!C:C, MATCH(B3, Cajas!A:A, 0))</f>
        <v>20</v>
      </c>
      <c r="E3" s="2">
        <f>INDEX(Cajas!D:D, MATCH(B3, Cajas!A:A, 0))</f>
        <v>15</v>
      </c>
      <c r="F3" s="7">
        <f>IFERROR(INT(C3/Demanda!B3)*INT(D3/Demanda!C3)*INT(E3/Demanda!D3),0)</f>
        <v>0</v>
      </c>
      <c r="G3" s="7" t="str">
        <f>IF(F3&gt;0,CEILING(Demanda!G3/F3,1),"")</f>
        <v/>
      </c>
      <c r="H3" s="5">
        <f>INDEX(Cajas!E:E, MATCH(B3, Cajas!A:A, 0))</f>
        <v>7500</v>
      </c>
      <c r="I3" s="3" t="str">
        <f>IF(F3&gt;0, (F3*Demanda!E3)/H3, "")</f>
        <v/>
      </c>
      <c r="J3" s="6">
        <f>INDEX(Cajas!F:F, MATCH(B3, Cajas!A:A, 0))</f>
        <v>0.2</v>
      </c>
      <c r="K3" s="6" t="str">
        <f>IF(F3&gt;0, F3*Demanda!F3+J3, "")</f>
        <v/>
      </c>
      <c r="L3" s="9" t="e">
        <f>Parametros!$B$3 + Parametros!$B$4 * K3</f>
        <v>#VALUE!</v>
      </c>
      <c r="M3" s="9" t="e">
        <f>IF(G3&gt;0, G3*(L3 + INDEX(Cajas!G:G, MATCH(B3, Cajas!A:A, 0))*(1+Parametros!$B$5)), "")</f>
        <v>#VALUE!</v>
      </c>
    </row>
    <row r="4" spans="1:13" x14ac:dyDescent="0.3">
      <c r="A4" s="2" t="str">
        <f>Demanda!A4</f>
        <v>B</v>
      </c>
      <c r="B4" s="2" t="s">
        <v>26</v>
      </c>
      <c r="C4" s="2">
        <f>INDEX(Cajas!B:B, MATCH(B4, Cajas!A:A, 0))</f>
        <v>35</v>
      </c>
      <c r="D4" s="2">
        <f>INDEX(Cajas!C:C, MATCH(B4, Cajas!A:A, 0))</f>
        <v>25</v>
      </c>
      <c r="E4" s="2">
        <f>INDEX(Cajas!D:D, MATCH(B4, Cajas!A:A, 0))</f>
        <v>20</v>
      </c>
      <c r="F4" s="7">
        <f>IFERROR(INT(C4/Demanda!B4)*INT(D4/Demanda!C4)*INT(E4/Demanda!D4),0)</f>
        <v>0</v>
      </c>
      <c r="G4" s="7" t="str">
        <f>IF(F4&gt;0,CEILING(Demanda!G4/F4,1),"")</f>
        <v/>
      </c>
      <c r="H4" s="5">
        <f>INDEX(Cajas!E:E, MATCH(B4, Cajas!A:A, 0))</f>
        <v>17500</v>
      </c>
      <c r="I4" s="3" t="str">
        <f>IF(F4&gt;0, (F4*Demanda!E4)/H4, "")</f>
        <v/>
      </c>
      <c r="J4" s="6">
        <f>INDEX(Cajas!F:F, MATCH(B4, Cajas!A:A, 0))</f>
        <v>0.3</v>
      </c>
      <c r="K4" s="6" t="str">
        <f>IF(F4&gt;0, F4*Demanda!F4+J4, "")</f>
        <v/>
      </c>
      <c r="L4" s="9" t="e">
        <f>Parametros!$B$3 + Parametros!$B$4 * K4</f>
        <v>#VALUE!</v>
      </c>
      <c r="M4" s="9" t="e">
        <f>IF(G4&gt;0, G4*(L4 + INDEX(Cajas!G:G, MATCH(B4, Cajas!A:A, 0))*(1+Parametros!$B$5)), "")</f>
        <v>#VALUE!</v>
      </c>
    </row>
    <row r="5" spans="1:13" x14ac:dyDescent="0.3">
      <c r="A5" s="2" t="str">
        <f>Demanda!A5</f>
        <v>C</v>
      </c>
      <c r="B5" s="2" t="s">
        <v>26</v>
      </c>
      <c r="C5" s="2">
        <f>INDEX(Cajas!B:B, MATCH(B5, Cajas!A:A, 0))</f>
        <v>35</v>
      </c>
      <c r="D5" s="2">
        <f>INDEX(Cajas!C:C, MATCH(B5, Cajas!A:A, 0))</f>
        <v>25</v>
      </c>
      <c r="E5" s="2">
        <f>INDEX(Cajas!D:D, MATCH(B5, Cajas!A:A, 0))</f>
        <v>20</v>
      </c>
      <c r="F5" s="7">
        <f>IFERROR(INT(C5/Demanda!B5)*INT(D5/Demanda!C5)*INT(E5/Demanda!D5),0)</f>
        <v>0</v>
      </c>
      <c r="G5" s="7" t="str">
        <f>IF(F5&gt;0,CEILING(Demanda!G5/F5,1),"")</f>
        <v/>
      </c>
      <c r="H5" s="5">
        <f>INDEX(Cajas!E:E, MATCH(B5, Cajas!A:A, 0))</f>
        <v>17500</v>
      </c>
      <c r="I5" s="3" t="str">
        <f>IF(F5&gt;0, (F5*Demanda!E5)/H5, "")</f>
        <v/>
      </c>
      <c r="J5" s="6">
        <f>INDEX(Cajas!F:F, MATCH(B5, Cajas!A:A, 0))</f>
        <v>0.3</v>
      </c>
      <c r="K5" s="6" t="str">
        <f>IF(F5&gt;0, F5*Demanda!F5+J5, "")</f>
        <v/>
      </c>
      <c r="L5" s="9" t="e">
        <f>Parametros!$B$3 + Parametros!$B$4 * K5</f>
        <v>#VALUE!</v>
      </c>
      <c r="M5" s="9" t="e">
        <f>IF(G5&gt;0, G5*(L5 + INDEX(Cajas!G:G, MATCH(B5, Cajas!A:A, 0))*(1+Parametros!$B$5)), "")</f>
        <v>#VALUE!</v>
      </c>
    </row>
  </sheetData>
  <mergeCells count="1">
    <mergeCell ref="A1:M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Cajas!$A$3:$A$5</xm:f>
          </x14:formula1>
          <xm:sqref>B3 B4 B5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"/>
  <sheetViews>
    <sheetView workbookViewId="0">
      <pane ySplit="2" topLeftCell="A3" activePane="bottomLeft" state="frozen"/>
      <selection pane="bottomLeft" activeCell="M20" sqref="M20"/>
    </sheetView>
  </sheetViews>
  <sheetFormatPr defaultRowHeight="14.4" x14ac:dyDescent="0.3"/>
  <cols>
    <col min="1" max="1" width="8" customWidth="1"/>
    <col min="2" max="2" width="12" customWidth="1"/>
    <col min="3" max="3" width="10" customWidth="1"/>
    <col min="4" max="4" width="14" customWidth="1"/>
    <col min="5" max="6" width="12" customWidth="1"/>
    <col min="7" max="7" width="16" customWidth="1"/>
    <col min="8" max="8" width="18" customWidth="1"/>
    <col min="9" max="9" width="16" customWidth="1"/>
    <col min="10" max="10" width="18" customWidth="1"/>
    <col min="11" max="12" width="16" customWidth="1"/>
    <col min="13" max="13" width="18" customWidth="1"/>
    <col min="14" max="14" width="16" customWidth="1"/>
  </cols>
  <sheetData>
    <row r="1" spans="1:14" ht="17.399999999999999" x14ac:dyDescent="0.35">
      <c r="A1" s="12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2" x14ac:dyDescent="0.3">
      <c r="A2" s="4" t="s">
        <v>7</v>
      </c>
      <c r="B2" s="4" t="s">
        <v>43</v>
      </c>
      <c r="C2" s="4" t="s">
        <v>34</v>
      </c>
      <c r="D2" s="4" t="s">
        <v>35</v>
      </c>
      <c r="E2" s="4" t="s">
        <v>37</v>
      </c>
      <c r="F2" s="4" t="s">
        <v>44</v>
      </c>
      <c r="G2" s="4" t="s">
        <v>45</v>
      </c>
      <c r="H2" s="4" t="s">
        <v>40</v>
      </c>
      <c r="I2" s="4" t="s">
        <v>46</v>
      </c>
      <c r="J2" s="4" t="s">
        <v>41</v>
      </c>
      <c r="K2" s="4" t="s">
        <v>47</v>
      </c>
      <c r="L2" s="4" t="s">
        <v>48</v>
      </c>
      <c r="M2" s="4" t="s">
        <v>49</v>
      </c>
      <c r="N2" s="4" t="s">
        <v>15</v>
      </c>
    </row>
    <row r="3" spans="1:14" x14ac:dyDescent="0.3">
      <c r="A3" s="2" t="str">
        <f>Demanda!A3</f>
        <v>A</v>
      </c>
      <c r="B3" s="2" t="s">
        <v>24</v>
      </c>
      <c r="C3" s="2" t="e">
        <f>INT(INDEX(Cajas!B:B, MATCH(B3,Cajas!A:A,0))/Demanda!B3)*INT(INDEX(Cajas!C:C, MATCH(B3,Cajas!A:A,0))/Demanda!C3)*INT(INDEX(Cajas!D:D, MATCH(B3,Cajas!A:A,0))/Demanda!D3)</f>
        <v>#DIV/0!</v>
      </c>
      <c r="D3" s="2" t="e">
        <f>IF(C3&gt;0, CEILING(Demanda!G3/C3,1),"")</f>
        <v>#DIV/0!</v>
      </c>
      <c r="E3" s="3" t="e">
        <f>IF(C3&gt;0, (C3*Demanda!E3)/INDEX(Cajas!E:E, MATCH(B3,Cajas!A:A,0)),"")</f>
        <v>#DIV/0!</v>
      </c>
      <c r="F3" s="6">
        <f>INDEX(Cajas!F:F, MATCH(B3,Cajas!A:A,0))</f>
        <v>0.2</v>
      </c>
      <c r="G3" s="6" t="e">
        <f>IF(C3&gt;0, C3*Demanda!F3+F3,"")</f>
        <v>#DIV/0!</v>
      </c>
      <c r="H3" s="9" t="e">
        <f>Parametros!$B$3 + Parametros!$B$4 * G3</f>
        <v>#DIV/0!</v>
      </c>
      <c r="I3" s="9">
        <f>INDEX(Cajas!G:G, MATCH(B3,Cajas!A:A,0))*(1+Parametros!$B$5)</f>
        <v>0.40249999999999997</v>
      </c>
      <c r="J3" s="9" t="e">
        <f t="shared" ref="J3:J11" si="0">IF(D3&gt;0, D3*(H3+I3),"")</f>
        <v>#DIV/0!</v>
      </c>
      <c r="K3" s="9" t="e">
        <f>IF(D3&gt;0, J3/Demanda!G3,"")</f>
        <v>#DIV/0!</v>
      </c>
      <c r="L3" s="2" t="e">
        <f>INDEX(B3:B5, MATCH(MIN(J3:J5), J3:J5, 0))</f>
        <v>#DIV/0!</v>
      </c>
      <c r="M3" s="9" t="e">
        <f>MIN(J3:J5)</f>
        <v>#DIV/0!</v>
      </c>
      <c r="N3" s="2"/>
    </row>
    <row r="4" spans="1:14" x14ac:dyDescent="0.3">
      <c r="A4" s="2" t="str">
        <f>Demanda!A3</f>
        <v>A</v>
      </c>
      <c r="B4" s="2" t="s">
        <v>26</v>
      </c>
      <c r="C4" s="2" t="e">
        <f>INT(INDEX(Cajas!B:B, MATCH(B4,Cajas!A:A,0))/Demanda!B3)*INT(INDEX(Cajas!C:C, MATCH(B4,Cajas!A:A,0))/Demanda!C3)*INT(INDEX(Cajas!D:D, MATCH(B4,Cajas!A:A,0))/Demanda!D3)</f>
        <v>#DIV/0!</v>
      </c>
      <c r="D4" s="2" t="e">
        <f>IF(C4&gt;0, CEILING(Demanda!G3/C4,1),"")</f>
        <v>#DIV/0!</v>
      </c>
      <c r="E4" s="3" t="e">
        <f>IF(C4&gt;0, (C4*Demanda!E3)/INDEX(Cajas!E:E, MATCH(B4,Cajas!A:A,0)),"")</f>
        <v>#DIV/0!</v>
      </c>
      <c r="F4" s="6">
        <f>INDEX(Cajas!F:F, MATCH(B4,Cajas!A:A,0))</f>
        <v>0.3</v>
      </c>
      <c r="G4" s="6" t="e">
        <f>IF(C4&gt;0, C4*Demanda!F3+F4,"")</f>
        <v>#DIV/0!</v>
      </c>
      <c r="H4" s="9" t="e">
        <f>Parametros!$B$3 + Parametros!$B$4 * G4</f>
        <v>#DIV/0!</v>
      </c>
      <c r="I4" s="9">
        <f>INDEX(Cajas!G:G, MATCH(B4,Cajas!A:A,0))*(1+Parametros!$B$5)</f>
        <v>0.57499999999999996</v>
      </c>
      <c r="J4" s="9" t="e">
        <f t="shared" si="0"/>
        <v>#DIV/0!</v>
      </c>
      <c r="K4" s="9" t="e">
        <f>IF(D4&gt;0, J4/Demanda!G3,"")</f>
        <v>#DIV/0!</v>
      </c>
      <c r="L4" s="2"/>
      <c r="M4" s="2"/>
      <c r="N4" s="2"/>
    </row>
    <row r="5" spans="1:14" x14ac:dyDescent="0.3">
      <c r="A5" s="2" t="str">
        <f>Demanda!A3</f>
        <v>A</v>
      </c>
      <c r="B5" s="2" t="s">
        <v>28</v>
      </c>
      <c r="C5" s="2" t="e">
        <f>INT(INDEX(Cajas!B:B, MATCH(B5,Cajas!A:A,0))/Demanda!B3)*INT(INDEX(Cajas!C:C, MATCH(B5,Cajas!A:A,0))/Demanda!C3)*INT(INDEX(Cajas!D:D, MATCH(B5,Cajas!A:A,0))/Demanda!D3)</f>
        <v>#DIV/0!</v>
      </c>
      <c r="D5" s="2" t="e">
        <f>IF(C5&gt;0, CEILING(Demanda!G3/C5,1),"")</f>
        <v>#DIV/0!</v>
      </c>
      <c r="E5" s="3" t="e">
        <f>IF(C5&gt;0, (C5*Demanda!E3)/INDEX(Cajas!E:E, MATCH(B5,Cajas!A:A,0)),"")</f>
        <v>#DIV/0!</v>
      </c>
      <c r="F5" s="6">
        <f>INDEX(Cajas!F:F, MATCH(B5,Cajas!A:A,0))</f>
        <v>0.45</v>
      </c>
      <c r="G5" s="6" t="e">
        <f>IF(C5&gt;0, C5*Demanda!F3+F5,"")</f>
        <v>#DIV/0!</v>
      </c>
      <c r="H5" s="9" t="e">
        <f>Parametros!$B$3 + Parametros!$B$4 * G5</f>
        <v>#DIV/0!</v>
      </c>
      <c r="I5" s="9">
        <f>INDEX(Cajas!G:G, MATCH(B5,Cajas!A:A,0))*(1+Parametros!$B$5)</f>
        <v>0.80499999999999994</v>
      </c>
      <c r="J5" s="9" t="e">
        <f t="shared" si="0"/>
        <v>#DIV/0!</v>
      </c>
      <c r="K5" s="9" t="e">
        <f>IF(D5&gt;0, J5/Demanda!G3,"")</f>
        <v>#DIV/0!</v>
      </c>
      <c r="L5" s="2"/>
      <c r="M5" s="2"/>
      <c r="N5" s="2"/>
    </row>
    <row r="6" spans="1:14" x14ac:dyDescent="0.3">
      <c r="A6" s="2" t="str">
        <f>Demanda!A4</f>
        <v>B</v>
      </c>
      <c r="B6" s="2" t="s">
        <v>24</v>
      </c>
      <c r="C6" s="2" t="e">
        <f>INT(INDEX(Cajas!B:B, MATCH(B6,Cajas!A:A,0))/Demanda!B4)*INT(INDEX(Cajas!C:C, MATCH(B6,Cajas!A:A,0))/Demanda!C4)*INT(INDEX(Cajas!D:D, MATCH(B6,Cajas!A:A,0))/Demanda!D4)</f>
        <v>#DIV/0!</v>
      </c>
      <c r="D6" s="2" t="e">
        <f>IF(C6&gt;0, CEILING(Demanda!G4/C6,1),"")</f>
        <v>#DIV/0!</v>
      </c>
      <c r="E6" s="3" t="e">
        <f>IF(C6&gt;0, (C6*Demanda!E4)/INDEX(Cajas!E:E, MATCH(B6,Cajas!A:A,0)),"")</f>
        <v>#DIV/0!</v>
      </c>
      <c r="F6" s="6">
        <f>INDEX(Cajas!F:F, MATCH(B6,Cajas!A:A,0))</f>
        <v>0.2</v>
      </c>
      <c r="G6" s="6" t="e">
        <f>IF(C6&gt;0, C6*Demanda!F4+F6,"")</f>
        <v>#DIV/0!</v>
      </c>
      <c r="H6" s="9" t="e">
        <f>Parametros!$B$3 + Parametros!$B$4 * G6</f>
        <v>#DIV/0!</v>
      </c>
      <c r="I6" s="9">
        <f>INDEX(Cajas!G:G, MATCH(B6,Cajas!A:A,0))*(1+Parametros!$B$5)</f>
        <v>0.40249999999999997</v>
      </c>
      <c r="J6" s="9" t="e">
        <f t="shared" si="0"/>
        <v>#DIV/0!</v>
      </c>
      <c r="K6" s="9" t="e">
        <f>IF(D6&gt;0, J6/Demanda!G4,"")</f>
        <v>#DIV/0!</v>
      </c>
      <c r="L6" s="2" t="e">
        <f>INDEX(B6:B8, MATCH(MIN(J6:J8), J6:J8, 0))</f>
        <v>#DIV/0!</v>
      </c>
      <c r="M6" s="9" t="e">
        <f>MIN(J6:J8)</f>
        <v>#DIV/0!</v>
      </c>
      <c r="N6" s="2"/>
    </row>
    <row r="7" spans="1:14" x14ac:dyDescent="0.3">
      <c r="A7" s="2" t="str">
        <f>Demanda!A4</f>
        <v>B</v>
      </c>
      <c r="B7" s="2" t="s">
        <v>26</v>
      </c>
      <c r="C7" s="2" t="e">
        <f>INT(INDEX(Cajas!B:B, MATCH(B7,Cajas!A:A,0))/Demanda!B4)*INT(INDEX(Cajas!C:C, MATCH(B7,Cajas!A:A,0))/Demanda!C4)*INT(INDEX(Cajas!D:D, MATCH(B7,Cajas!A:A,0))/Demanda!D4)</f>
        <v>#DIV/0!</v>
      </c>
      <c r="D7" s="2" t="e">
        <f>IF(C7&gt;0, CEILING(Demanda!G4/C7,1),"")</f>
        <v>#DIV/0!</v>
      </c>
      <c r="E7" s="3" t="e">
        <f>IF(C7&gt;0, (C7*Demanda!E4)/INDEX(Cajas!E:E, MATCH(B7,Cajas!A:A,0)),"")</f>
        <v>#DIV/0!</v>
      </c>
      <c r="F7" s="6">
        <f>INDEX(Cajas!F:F, MATCH(B7,Cajas!A:A,0))</f>
        <v>0.3</v>
      </c>
      <c r="G7" s="6" t="e">
        <f>IF(C7&gt;0, C7*Demanda!F4+F7,"")</f>
        <v>#DIV/0!</v>
      </c>
      <c r="H7" s="9" t="e">
        <f>Parametros!$B$3 + Parametros!$B$4 * G7</f>
        <v>#DIV/0!</v>
      </c>
      <c r="I7" s="9">
        <f>INDEX(Cajas!G:G, MATCH(B7,Cajas!A:A,0))*(1+Parametros!$B$5)</f>
        <v>0.57499999999999996</v>
      </c>
      <c r="J7" s="9" t="e">
        <f t="shared" si="0"/>
        <v>#DIV/0!</v>
      </c>
      <c r="K7" s="9" t="e">
        <f>IF(D7&gt;0, J7/Demanda!G4,"")</f>
        <v>#DIV/0!</v>
      </c>
      <c r="L7" s="2"/>
      <c r="M7" s="2"/>
      <c r="N7" s="2"/>
    </row>
    <row r="8" spans="1:14" x14ac:dyDescent="0.3">
      <c r="A8" s="2" t="str">
        <f>Demanda!A4</f>
        <v>B</v>
      </c>
      <c r="B8" s="2" t="s">
        <v>28</v>
      </c>
      <c r="C8" s="2" t="e">
        <f>INT(INDEX(Cajas!B:B, MATCH(B8,Cajas!A:A,0))/Demanda!B4)*INT(INDEX(Cajas!C:C, MATCH(B8,Cajas!A:A,0))/Demanda!C4)*INT(INDEX(Cajas!D:D, MATCH(B8,Cajas!A:A,0))/Demanda!D4)</f>
        <v>#DIV/0!</v>
      </c>
      <c r="D8" s="2" t="e">
        <f>IF(C8&gt;0, CEILING(Demanda!G4/C8,1),"")</f>
        <v>#DIV/0!</v>
      </c>
      <c r="E8" s="3" t="e">
        <f>IF(C8&gt;0, (C8*Demanda!E4)/INDEX(Cajas!E:E, MATCH(B8,Cajas!A:A,0)),"")</f>
        <v>#DIV/0!</v>
      </c>
      <c r="F8" s="6">
        <f>INDEX(Cajas!F:F, MATCH(B8,Cajas!A:A,0))</f>
        <v>0.45</v>
      </c>
      <c r="G8" s="6" t="e">
        <f>IF(C8&gt;0, C8*Demanda!F4+F8,"")</f>
        <v>#DIV/0!</v>
      </c>
      <c r="H8" s="9" t="e">
        <f>Parametros!$B$3 + Parametros!$B$4 * G8</f>
        <v>#DIV/0!</v>
      </c>
      <c r="I8" s="9">
        <f>INDEX(Cajas!G:G, MATCH(B8,Cajas!A:A,0))*(1+Parametros!$B$5)</f>
        <v>0.80499999999999994</v>
      </c>
      <c r="J8" s="9" t="e">
        <f t="shared" si="0"/>
        <v>#DIV/0!</v>
      </c>
      <c r="K8" s="9" t="e">
        <f>IF(D8&gt;0, J8/Demanda!G4,"")</f>
        <v>#DIV/0!</v>
      </c>
      <c r="L8" s="2"/>
      <c r="M8" s="2"/>
      <c r="N8" s="2"/>
    </row>
    <row r="9" spans="1:14" x14ac:dyDescent="0.3">
      <c r="A9" s="2" t="str">
        <f>Demanda!A5</f>
        <v>C</v>
      </c>
      <c r="B9" s="2" t="s">
        <v>24</v>
      </c>
      <c r="C9" s="2" t="e">
        <f>INT(INDEX(Cajas!B:B, MATCH(B9,Cajas!A:A,0))/Demanda!B5)*INT(INDEX(Cajas!C:C, MATCH(B9,Cajas!A:A,0))/Demanda!C5)*INT(INDEX(Cajas!D:D, MATCH(B9,Cajas!A:A,0))/Demanda!D5)</f>
        <v>#DIV/0!</v>
      </c>
      <c r="D9" s="2" t="e">
        <f>IF(C9&gt;0, CEILING(Demanda!G5/C9,1),"")</f>
        <v>#DIV/0!</v>
      </c>
      <c r="E9" s="3" t="e">
        <f>IF(C9&gt;0, (C9*Demanda!E5)/INDEX(Cajas!E:E, MATCH(B9,Cajas!A:A,0)),"")</f>
        <v>#DIV/0!</v>
      </c>
      <c r="F9" s="6">
        <f>INDEX(Cajas!F:F, MATCH(B9,Cajas!A:A,0))</f>
        <v>0.2</v>
      </c>
      <c r="G9" s="6" t="e">
        <f>IF(C9&gt;0, C9*Demanda!F5+F9,"")</f>
        <v>#DIV/0!</v>
      </c>
      <c r="H9" s="9" t="e">
        <f>Parametros!$B$3 + Parametros!$B$4 * G9</f>
        <v>#DIV/0!</v>
      </c>
      <c r="I9" s="9">
        <f>INDEX(Cajas!G:G, MATCH(B9,Cajas!A:A,0))*(1+Parametros!$B$5)</f>
        <v>0.40249999999999997</v>
      </c>
      <c r="J9" s="9" t="e">
        <f t="shared" si="0"/>
        <v>#DIV/0!</v>
      </c>
      <c r="K9" s="9" t="e">
        <f>IF(D9&gt;0, J9/Demanda!G5,"")</f>
        <v>#DIV/0!</v>
      </c>
      <c r="L9" s="2" t="e">
        <f>INDEX(B9:B11, MATCH(MIN(J9:J11), J9:J11, 0))</f>
        <v>#DIV/0!</v>
      </c>
      <c r="M9" s="9" t="e">
        <f>MIN(J9:J11)</f>
        <v>#DIV/0!</v>
      </c>
      <c r="N9" s="2"/>
    </row>
    <row r="10" spans="1:14" x14ac:dyDescent="0.3">
      <c r="A10" s="2" t="str">
        <f>Demanda!A5</f>
        <v>C</v>
      </c>
      <c r="B10" s="2" t="s">
        <v>26</v>
      </c>
      <c r="C10" s="2" t="e">
        <f>INT(INDEX(Cajas!B:B, MATCH(B10,Cajas!A:A,0))/Demanda!B5)*INT(INDEX(Cajas!C:C, MATCH(B10,Cajas!A:A,0))/Demanda!C5)*INT(INDEX(Cajas!D:D, MATCH(B10,Cajas!A:A,0))/Demanda!D5)</f>
        <v>#DIV/0!</v>
      </c>
      <c r="D10" s="2" t="e">
        <f>IF(C10&gt;0, CEILING(Demanda!G5/C10,1),"")</f>
        <v>#DIV/0!</v>
      </c>
      <c r="E10" s="3" t="e">
        <f>IF(C10&gt;0, (C10*Demanda!E5)/INDEX(Cajas!E:E, MATCH(B10,Cajas!A:A,0)),"")</f>
        <v>#DIV/0!</v>
      </c>
      <c r="F10" s="6">
        <f>INDEX(Cajas!F:F, MATCH(B10,Cajas!A:A,0))</f>
        <v>0.3</v>
      </c>
      <c r="G10" s="6" t="e">
        <f>IF(C10&gt;0, C10*Demanda!F5+F10,"")</f>
        <v>#DIV/0!</v>
      </c>
      <c r="H10" s="9" t="e">
        <f>Parametros!$B$3 + Parametros!$B$4 * G10</f>
        <v>#DIV/0!</v>
      </c>
      <c r="I10" s="9">
        <f>INDEX(Cajas!G:G, MATCH(B10,Cajas!A:A,0))*(1+Parametros!$B$5)</f>
        <v>0.57499999999999996</v>
      </c>
      <c r="J10" s="9" t="e">
        <f t="shared" si="0"/>
        <v>#DIV/0!</v>
      </c>
      <c r="K10" s="9" t="e">
        <f>IF(D10&gt;0, J10/Demanda!G5,"")</f>
        <v>#DIV/0!</v>
      </c>
      <c r="L10" s="2"/>
      <c r="M10" s="2"/>
      <c r="N10" s="2"/>
    </row>
    <row r="11" spans="1:14" x14ac:dyDescent="0.3">
      <c r="A11" s="2" t="str">
        <f>Demanda!A5</f>
        <v>C</v>
      </c>
      <c r="B11" s="2" t="s">
        <v>28</v>
      </c>
      <c r="C11" s="2" t="e">
        <f>INT(INDEX(Cajas!B:B, MATCH(B11,Cajas!A:A,0))/Demanda!B5)*INT(INDEX(Cajas!C:C, MATCH(B11,Cajas!A:A,0))/Demanda!C5)*INT(INDEX(Cajas!D:D, MATCH(B11,Cajas!A:A,0))/Demanda!D5)</f>
        <v>#DIV/0!</v>
      </c>
      <c r="D11" s="2" t="e">
        <f>IF(C11&gt;0, CEILING(Demanda!G5/C11,1),"")</f>
        <v>#DIV/0!</v>
      </c>
      <c r="E11" s="3" t="e">
        <f>IF(C11&gt;0, (C11*Demanda!E5)/INDEX(Cajas!E:E, MATCH(B11,Cajas!A:A,0)),"")</f>
        <v>#DIV/0!</v>
      </c>
      <c r="F11" s="6">
        <f>INDEX(Cajas!F:F, MATCH(B11,Cajas!A:A,0))</f>
        <v>0.45</v>
      </c>
      <c r="G11" s="6" t="e">
        <f>IF(C11&gt;0, C11*Demanda!F5+F11,"")</f>
        <v>#DIV/0!</v>
      </c>
      <c r="H11" s="9" t="e">
        <f>Parametros!$B$3 + Parametros!$B$4 * G11</f>
        <v>#DIV/0!</v>
      </c>
      <c r="I11" s="9">
        <f>INDEX(Cajas!G:G, MATCH(B11,Cajas!A:A,0))*(1+Parametros!$B$5)</f>
        <v>0.80499999999999994</v>
      </c>
      <c r="J11" s="9" t="e">
        <f t="shared" si="0"/>
        <v>#DIV/0!</v>
      </c>
      <c r="K11" s="9" t="e">
        <f>IF(D11&gt;0, J11/Demanda!G5,"")</f>
        <v>#DIV/0!</v>
      </c>
      <c r="L11" s="2"/>
      <c r="M11" s="2"/>
      <c r="N11" s="2"/>
    </row>
  </sheetData>
  <mergeCells count="1">
    <mergeCell ref="A1:N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1B6B3560-1F13-4FCE-8F21-BEF464B1A4BB}"/>
</file>

<file path=customXml/itemProps2.xml><?xml version="1.0" encoding="utf-8"?>
<ds:datastoreItem xmlns:ds="http://schemas.openxmlformats.org/officeDocument/2006/customXml" ds:itemID="{4C9C242C-2D43-43A7-8A3C-9F0B0E0470F7}"/>
</file>

<file path=customXml/itemProps3.xml><?xml version="1.0" encoding="utf-8"?>
<ds:datastoreItem xmlns:ds="http://schemas.openxmlformats.org/officeDocument/2006/customXml" ds:itemID="{5190FA8E-655A-44D7-AD88-96B9E39B38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Parametros</vt:lpstr>
      <vt:lpstr>Demanda</vt:lpstr>
      <vt:lpstr>Cajas</vt:lpstr>
      <vt:lpstr>Plan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CHRISTIAN FABRICIO MONTERO CHANDI</cp:lastModifiedBy>
  <dcterms:created xsi:type="dcterms:W3CDTF">2025-09-10T18:42:10Z</dcterms:created>
  <dcterms:modified xsi:type="dcterms:W3CDTF">2025-10-03T15:39:42Z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