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8_{32EFF6ED-1632-4341-84A3-731F84D0A56B}" xr6:coauthVersionLast="47" xr6:coauthVersionMax="47" xr10:uidLastSave="{00000000-0000-0000-0000-000000000000}"/>
  <bookViews>
    <workbookView xWindow="-108" yWindow="-108" windowWidth="23256" windowHeight="12456" xr2:uid="{D00F5E12-23ED-4C79-86F1-427B36928B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8" i="1" l="1"/>
  <c r="H125" i="1"/>
  <c r="B122" i="1"/>
  <c r="F111" i="1"/>
  <c r="H114" i="1" s="1"/>
  <c r="F110" i="1"/>
  <c r="F109" i="1"/>
  <c r="F108" i="1"/>
  <c r="C101" i="1"/>
  <c r="C100" i="1"/>
  <c r="D99" i="1"/>
  <c r="C98" i="1"/>
  <c r="C97" i="1"/>
  <c r="D96" i="1"/>
  <c r="D95" i="1"/>
  <c r="C94" i="1"/>
  <c r="C90" i="1"/>
  <c r="N90" i="1" s="1"/>
  <c r="B90" i="1"/>
  <c r="B89" i="1"/>
  <c r="M89" i="1" s="1"/>
  <c r="E88" i="1"/>
  <c r="G88" i="1" s="1"/>
  <c r="J88" i="1" s="1"/>
  <c r="B88" i="1"/>
  <c r="B87" i="1"/>
  <c r="C86" i="1"/>
  <c r="N86" i="1" s="1"/>
  <c r="B86" i="1"/>
  <c r="F85" i="1"/>
  <c r="H85" i="1" s="1"/>
  <c r="K85" i="1" s="1"/>
  <c r="E85" i="1"/>
  <c r="G85" i="1" s="1"/>
  <c r="J85" i="1" s="1"/>
  <c r="C85" i="1"/>
  <c r="B85" i="1"/>
  <c r="E84" i="1"/>
  <c r="G84" i="1" s="1"/>
  <c r="J84" i="1" s="1"/>
  <c r="B84" i="1"/>
  <c r="C83" i="1"/>
  <c r="N83" i="1" s="1"/>
  <c r="B83" i="1"/>
  <c r="M83" i="1" s="1"/>
  <c r="C77" i="1"/>
  <c r="C89" i="1" s="1"/>
  <c r="N89" i="1" s="1"/>
  <c r="C76" i="1"/>
  <c r="C88" i="1" s="1"/>
  <c r="C75" i="1"/>
  <c r="C87" i="1" s="1"/>
  <c r="N87" i="1" s="1"/>
  <c r="C72" i="1"/>
  <c r="F84" i="1" s="1"/>
  <c r="H84" i="1" s="1"/>
  <c r="K84" i="1" s="1"/>
  <c r="D45" i="1"/>
  <c r="F62" i="1" s="1"/>
  <c r="E32" i="1"/>
  <c r="F32" i="1" s="1"/>
  <c r="G44" i="1" s="1"/>
  <c r="E31" i="1"/>
  <c r="F31" i="1" s="1"/>
  <c r="C29" i="1"/>
  <c r="E28" i="1"/>
  <c r="F28" i="1" s="1"/>
  <c r="J28" i="1" s="1"/>
  <c r="C26" i="1"/>
  <c r="E25" i="1"/>
  <c r="F25" i="1" s="1"/>
  <c r="L25" i="1" s="1"/>
  <c r="M25" i="1" s="1"/>
  <c r="F14" i="1"/>
  <c r="G14" i="1" s="1"/>
  <c r="F13" i="1"/>
  <c r="G13" i="1" s="1"/>
  <c r="F12" i="1"/>
  <c r="G12" i="1" s="1"/>
  <c r="H12" i="1" s="1"/>
  <c r="J12" i="1" s="1"/>
  <c r="D30" i="1" s="1"/>
  <c r="F30" i="1" s="1"/>
  <c r="C11" i="1"/>
  <c r="F11" i="1" s="1"/>
  <c r="G11" i="1" s="1"/>
  <c r="F10" i="1"/>
  <c r="G10" i="1" s="1"/>
  <c r="F9" i="1"/>
  <c r="G9" i="1" s="1"/>
  <c r="C8" i="1"/>
  <c r="F8" i="1" s="1"/>
  <c r="F7" i="1"/>
  <c r="G7" i="1" s="1"/>
  <c r="F88" i="1" l="1"/>
  <c r="H88" i="1" s="1"/>
  <c r="K88" i="1" s="1"/>
  <c r="L88" i="1" s="1"/>
  <c r="C99" i="1" s="1"/>
  <c r="D85" i="1"/>
  <c r="B96" i="1" s="1"/>
  <c r="D87" i="1"/>
  <c r="B98" i="1" s="1"/>
  <c r="E29" i="1"/>
  <c r="F29" i="1" s="1"/>
  <c r="M87" i="1"/>
  <c r="O87" i="1" s="1"/>
  <c r="D98" i="1" s="1"/>
  <c r="O83" i="1"/>
  <c r="D94" i="1" s="1"/>
  <c r="L85" i="1"/>
  <c r="C96" i="1" s="1"/>
  <c r="E96" i="1" s="1"/>
  <c r="D83" i="1"/>
  <c r="B94" i="1" s="1"/>
  <c r="E94" i="1" s="1"/>
  <c r="F94" i="1" s="1"/>
  <c r="C84" i="1"/>
  <c r="D84" i="1" s="1"/>
  <c r="B95" i="1" s="1"/>
  <c r="G8" i="1"/>
  <c r="H8" i="1"/>
  <c r="J8" i="1" s="1"/>
  <c r="D26" i="1" s="1"/>
  <c r="F26" i="1" s="1"/>
  <c r="F42" i="1"/>
  <c r="G42" i="1"/>
  <c r="C42" i="1"/>
  <c r="L30" i="1"/>
  <c r="M30" i="1" s="1"/>
  <c r="K30" i="1"/>
  <c r="G43" i="1"/>
  <c r="L31" i="1"/>
  <c r="M31" i="1" s="1"/>
  <c r="F43" i="1"/>
  <c r="C43" i="1"/>
  <c r="E43" i="1"/>
  <c r="K31" i="1"/>
  <c r="N31" i="1" s="1"/>
  <c r="L84" i="1"/>
  <c r="C95" i="1" s="1"/>
  <c r="G40" i="1"/>
  <c r="G28" i="1"/>
  <c r="K28" i="1" s="1"/>
  <c r="K32" i="1"/>
  <c r="D88" i="1"/>
  <c r="B99" i="1" s="1"/>
  <c r="E99" i="1" s="1"/>
  <c r="D89" i="1"/>
  <c r="B100" i="1" s="1"/>
  <c r="F40" i="1"/>
  <c r="F37" i="1"/>
  <c r="M90" i="1"/>
  <c r="O90" i="1" s="1"/>
  <c r="D101" i="1" s="1"/>
  <c r="D90" i="1"/>
  <c r="B101" i="1" s="1"/>
  <c r="H9" i="1"/>
  <c r="J9" i="1" s="1"/>
  <c r="D27" i="1" s="1"/>
  <c r="F27" i="1" s="1"/>
  <c r="G25" i="1"/>
  <c r="K25" i="1" s="1"/>
  <c r="F44" i="1"/>
  <c r="C44" i="1"/>
  <c r="G37" i="1"/>
  <c r="L28" i="1"/>
  <c r="M28" i="1" s="1"/>
  <c r="L32" i="1"/>
  <c r="M32" i="1" s="1"/>
  <c r="M86" i="1"/>
  <c r="O86" i="1" s="1"/>
  <c r="D97" i="1" s="1"/>
  <c r="D86" i="1"/>
  <c r="B97" i="1" s="1"/>
  <c r="O89" i="1"/>
  <c r="D100" i="1" s="1"/>
  <c r="E97" i="1" l="1"/>
  <c r="E95" i="1"/>
  <c r="J95" i="1" s="1"/>
  <c r="E98" i="1"/>
  <c r="J98" i="1" s="1"/>
  <c r="C41" i="1"/>
  <c r="L29" i="1"/>
  <c r="M29" i="1" s="1"/>
  <c r="K29" i="1"/>
  <c r="G41" i="1"/>
  <c r="F41" i="1"/>
  <c r="E100" i="1"/>
  <c r="H100" i="1" s="1"/>
  <c r="N32" i="1"/>
  <c r="J94" i="1"/>
  <c r="K94" i="1" s="1"/>
  <c r="H43" i="1"/>
  <c r="E50" i="1"/>
  <c r="N25" i="1"/>
  <c r="G38" i="1"/>
  <c r="C38" i="1"/>
  <c r="K26" i="1"/>
  <c r="L26" i="1"/>
  <c r="F38" i="1"/>
  <c r="E38" i="1"/>
  <c r="E45" i="1" s="1"/>
  <c r="F63" i="1" s="1"/>
  <c r="H37" i="1"/>
  <c r="N30" i="1"/>
  <c r="E53" i="1"/>
  <c r="F39" i="1"/>
  <c r="K27" i="1"/>
  <c r="C39" i="1"/>
  <c r="G39" i="1"/>
  <c r="L27" i="1"/>
  <c r="M27" i="1" s="1"/>
  <c r="N28" i="1"/>
  <c r="J97" i="1"/>
  <c r="F97" i="1"/>
  <c r="H97" i="1"/>
  <c r="F99" i="1"/>
  <c r="J99" i="1"/>
  <c r="J96" i="1"/>
  <c r="F96" i="1"/>
  <c r="H44" i="1"/>
  <c r="E101" i="1"/>
  <c r="H40" i="1"/>
  <c r="H42" i="1"/>
  <c r="F95" i="1" l="1"/>
  <c r="H95" i="1"/>
  <c r="F45" i="1"/>
  <c r="F64" i="1" s="1"/>
  <c r="F98" i="1"/>
  <c r="J100" i="1"/>
  <c r="H41" i="1"/>
  <c r="F100" i="1"/>
  <c r="N29" i="1"/>
  <c r="K97" i="1"/>
  <c r="K96" i="1"/>
  <c r="G45" i="1"/>
  <c r="F65" i="1" s="1"/>
  <c r="K98" i="1"/>
  <c r="K99" i="1"/>
  <c r="K95" i="1"/>
  <c r="E52" i="1"/>
  <c r="B133" i="1" s="1"/>
  <c r="N27" i="1"/>
  <c r="E51" i="1"/>
  <c r="J101" i="1"/>
  <c r="F101" i="1"/>
  <c r="H39" i="1"/>
  <c r="C45" i="1"/>
  <c r="F61" i="1" s="1"/>
  <c r="H38" i="1"/>
  <c r="E58" i="1" s="1"/>
  <c r="E60" i="1"/>
  <c r="E57" i="1"/>
  <c r="M26" i="1"/>
  <c r="N26" i="1" s="1"/>
  <c r="L33" i="1"/>
  <c r="K103" i="1" l="1"/>
  <c r="H113" i="1" s="1"/>
  <c r="J113" i="1" s="1"/>
  <c r="F125" i="1" s="1"/>
  <c r="F126" i="1" s="1"/>
  <c r="E133" i="1" s="1"/>
  <c r="E59" i="1"/>
  <c r="B137" i="1" s="1"/>
  <c r="B141" i="1" s="1"/>
  <c r="K100" i="1"/>
  <c r="N33" i="1"/>
  <c r="F55" i="1" s="1"/>
  <c r="K101" i="1"/>
  <c r="F128" i="1"/>
  <c r="F129" i="1" s="1"/>
  <c r="E134" i="1" s="1"/>
  <c r="E141" i="1" s="1"/>
  <c r="H45" i="1"/>
  <c r="F54" i="1"/>
  <c r="M33" i="1"/>
  <c r="C142" i="1" l="1"/>
  <c r="E149" i="1" s="1"/>
  <c r="F150" i="1" s="1"/>
</calcChain>
</file>

<file path=xl/sharedStrings.xml><?xml version="1.0" encoding="utf-8"?>
<sst xmlns="http://schemas.openxmlformats.org/spreadsheetml/2006/main" count="261" uniqueCount="136">
  <si>
    <t>EJERCICIO PARA TALLER MANO DE OBRA</t>
  </si>
  <si>
    <t>DATOS PARA ELABORACIÓN DEL ROL DE PAGOS Y BENEFICIOS DEL MES DE SEPTIEMBRE:</t>
  </si>
  <si>
    <t>Empleado</t>
  </si>
  <si>
    <t>Área</t>
  </si>
  <si>
    <t>Sueldo</t>
  </si>
  <si>
    <t>h.extras</t>
  </si>
  <si>
    <t>HORAS EXTRAS</t>
  </si>
  <si>
    <t>Total horas extras</t>
  </si>
  <si>
    <t>valor c/hora</t>
  </si>
  <si>
    <t>recargo 50%</t>
  </si>
  <si>
    <t>valor c/h suplem</t>
  </si>
  <si>
    <t>A1</t>
  </si>
  <si>
    <t>Administración</t>
  </si>
  <si>
    <t>B2</t>
  </si>
  <si>
    <t>Ventas</t>
  </si>
  <si>
    <t>5 horas</t>
  </si>
  <si>
    <t>50% recargo</t>
  </si>
  <si>
    <t>C1</t>
  </si>
  <si>
    <t>MOD</t>
  </si>
  <si>
    <t>4 horas</t>
  </si>
  <si>
    <t>D3</t>
  </si>
  <si>
    <t>E4</t>
  </si>
  <si>
    <t>F1</t>
  </si>
  <si>
    <t>MOI</t>
  </si>
  <si>
    <t>10 horas</t>
  </si>
  <si>
    <t>G5</t>
  </si>
  <si>
    <t>H1</t>
  </si>
  <si>
    <t>Solamente los Srs. A1 Y D3 solicitaron el pago mensual de beneficios sociales</t>
  </si>
  <si>
    <t>Los empleados que han cumplido más de 1 año de trabajo son: b2, D3 y G5</t>
  </si>
  <si>
    <t>Las comisiones se pagaron sobre el sueldos con los porcentajes indicados para el presupuesto</t>
  </si>
  <si>
    <t>El único descuento es el aporte personal al IESS</t>
  </si>
  <si>
    <t>A todos los empleados se les paga los sueldos por transferencia bancaria</t>
  </si>
  <si>
    <t>ROL DE PAGOS</t>
  </si>
  <si>
    <t>A</t>
  </si>
  <si>
    <t>B</t>
  </si>
  <si>
    <t>A-B</t>
  </si>
  <si>
    <t>base</t>
  </si>
  <si>
    <t>Décimo</t>
  </si>
  <si>
    <t xml:space="preserve">Fondo </t>
  </si>
  <si>
    <t>TOTAL</t>
  </si>
  <si>
    <t>Aporte personal</t>
  </si>
  <si>
    <t xml:space="preserve">VALOR A </t>
  </si>
  <si>
    <t>Empleados</t>
  </si>
  <si>
    <t>horas extras</t>
  </si>
  <si>
    <t>comisiones</t>
  </si>
  <si>
    <t>imponible</t>
  </si>
  <si>
    <t>tercero</t>
  </si>
  <si>
    <t>cuarto</t>
  </si>
  <si>
    <t>reserva</t>
  </si>
  <si>
    <t>INGRESOS</t>
  </si>
  <si>
    <t>IESS 9,45%</t>
  </si>
  <si>
    <t>DESCUENTOS</t>
  </si>
  <si>
    <t>RECIBIR</t>
  </si>
  <si>
    <t>Fondo</t>
  </si>
  <si>
    <t xml:space="preserve">Aporte patronal </t>
  </si>
  <si>
    <t>FECHA</t>
  </si>
  <si>
    <t>DETALLE</t>
  </si>
  <si>
    <t>DEBE</t>
  </si>
  <si>
    <t>HABER</t>
  </si>
  <si>
    <t>ROL BENEFICIOS SOCIALES</t>
  </si>
  <si>
    <t>de reserva</t>
  </si>
  <si>
    <t>IESS 12,15%</t>
  </si>
  <si>
    <t>Vacaciones</t>
  </si>
  <si>
    <t xml:space="preserve">  -1-</t>
  </si>
  <si>
    <t>Gasto administraciòn</t>
  </si>
  <si>
    <t>Gasto ventas</t>
  </si>
  <si>
    <t>Inventario productos en proceso</t>
  </si>
  <si>
    <t>CIF: MOI</t>
  </si>
  <si>
    <t>Aporte IESS por pagar</t>
  </si>
  <si>
    <t>Bancos</t>
  </si>
  <si>
    <t xml:space="preserve">  -2-</t>
  </si>
  <si>
    <t>Dècimo tercero por pagar</t>
  </si>
  <si>
    <t>Dècimo cuarto por pagar</t>
  </si>
  <si>
    <t>Fondo de reserva por pagar</t>
  </si>
  <si>
    <t>Vacaciones por pagar</t>
  </si>
  <si>
    <t xml:space="preserve">  -3-</t>
  </si>
  <si>
    <t>CIF: Tiempo improductivo</t>
  </si>
  <si>
    <t>DATOS PARA EL PRESUPUESTO ANUAL:</t>
  </si>
  <si>
    <t>Inventario productos proceso</t>
  </si>
  <si>
    <t>Sueldos</t>
  </si>
  <si>
    <t>Comisiones</t>
  </si>
  <si>
    <t>Horas Extras</t>
  </si>
  <si>
    <t>Enero a junio</t>
  </si>
  <si>
    <t>Julio a diciembre</t>
  </si>
  <si>
    <t>Durante el año se pagarán:</t>
  </si>
  <si>
    <t>Corresponden al 30% del sueldo en todos los meses</t>
  </si>
  <si>
    <t>60 horas del 50% (enero a junio) y 35 horas 50% (julio a diciembre)</t>
  </si>
  <si>
    <t>40 horas del 100% (enero a junio) y 45 horas 50% (julio a diciembre)</t>
  </si>
  <si>
    <t>Corresponden al 10% del sueldo en todos los meses</t>
  </si>
  <si>
    <t>Corresponden al 7% del sueldo en todos los meses</t>
  </si>
  <si>
    <t>70 horas del 100% (enero a junio) y 55 horas 50% (julio a diciembre)</t>
  </si>
  <si>
    <t>Corresponden al 3% del sueldo en todos los meses</t>
  </si>
  <si>
    <t>SUELDOS</t>
  </si>
  <si>
    <t>Valor hora</t>
  </si>
  <si>
    <t>valor con recargo</t>
  </si>
  <si>
    <t>Valor horas extras</t>
  </si>
  <si>
    <t xml:space="preserve">total </t>
  </si>
  <si>
    <t>COMISIONES</t>
  </si>
  <si>
    <t>enero a junio</t>
  </si>
  <si>
    <t>julio a dic</t>
  </si>
  <si>
    <t>Total</t>
  </si>
  <si>
    <t xml:space="preserve">Décimo </t>
  </si>
  <si>
    <t>Aporte</t>
  </si>
  <si>
    <t>ingresos</t>
  </si>
  <si>
    <t>patronal IESS</t>
  </si>
  <si>
    <t>DATOS ADICIONALES</t>
  </si>
  <si>
    <t>PRESUPUESTO ANUAL MOD</t>
  </si>
  <si>
    <t>Presupuesto de horas de mano de obra directa:</t>
  </si>
  <si>
    <t>Los 3 empleados de MOD trabajaron de la siguiente manera:</t>
  </si>
  <si>
    <t xml:space="preserve"> </t>
  </si>
  <si>
    <t>dias</t>
  </si>
  <si>
    <t>7,6 horas por día</t>
  </si>
  <si>
    <t>7,7 horas por día</t>
  </si>
  <si>
    <t>horas MOD presupuestadas</t>
  </si>
  <si>
    <t>TASA POR HORA MOD</t>
  </si>
  <si>
    <t>Presupuesto anual MOD</t>
  </si>
  <si>
    <t>Las horas reales trabajadas según boletas de tiempo para el mes de septiembre fueron:</t>
  </si>
  <si>
    <t>Trabajó para la orden No. 4</t>
  </si>
  <si>
    <t>Trabajó para la orden No. 3</t>
  </si>
  <si>
    <t>COSTO MOD ASIGNADO</t>
  </si>
  <si>
    <t>TASA POR HORA MOD X horas reales trabajadas</t>
  </si>
  <si>
    <t>ORDEN No.4</t>
  </si>
  <si>
    <t>x</t>
  </si>
  <si>
    <t>horas</t>
  </si>
  <si>
    <t>ORDEN NO. 3</t>
  </si>
  <si>
    <t>X</t>
  </si>
  <si>
    <t>HORAS</t>
  </si>
  <si>
    <t>COSTO MOD REAL</t>
  </si>
  <si>
    <t>Rol pagos</t>
  </si>
  <si>
    <t>ORDEN 4</t>
  </si>
  <si>
    <t>ORDEN 3</t>
  </si>
  <si>
    <t>Rol beneficios</t>
  </si>
  <si>
    <t>TIEMPO IMPRODUCTIVO O TIEMPO OCIOSO</t>
  </si>
  <si>
    <t xml:space="preserve">DESARROLLO </t>
  </si>
  <si>
    <t xml:space="preserve">CONTABILIZACION </t>
  </si>
  <si>
    <t xml:space="preserve">DETALLE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</si>
</sst>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14" fontId="0" fillId="0" borderId="0" xfId="0" applyNumberFormat="1"/>
    <xf numFmtId="44" fontId="0" fillId="0" borderId="0" xfId="0" applyNumberFormat="1"/>
    <xf numFmtId="44" fontId="0" fillId="0" borderId="0" xfId="1" applyFont="1" applyFill="1"/>
    <xf numFmtId="0" fontId="0" fillId="3" borderId="0" xfId="0" applyFill="1" applyAlignment="1">
      <alignment horizontal="center"/>
    </xf>
    <xf numFmtId="0" fontId="0" fillId="5" borderId="0" xfId="0" applyFill="1"/>
    <xf numFmtId="44" fontId="0" fillId="5" borderId="0" xfId="0" applyNumberFormat="1" applyFill="1"/>
    <xf numFmtId="44" fontId="0" fillId="5" borderId="0" xfId="1" applyFont="1" applyFill="1"/>
    <xf numFmtId="0" fontId="0" fillId="7" borderId="0" xfId="0" applyFill="1"/>
    <xf numFmtId="44" fontId="0" fillId="7" borderId="0" xfId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0" fillId="0" borderId="1" xfId="0" applyBorder="1"/>
    <xf numFmtId="44" fontId="0" fillId="0" borderId="0" xfId="1" applyFont="1" applyFill="1" applyBorder="1"/>
    <xf numFmtId="44" fontId="0" fillId="5" borderId="1" xfId="0" applyNumberFormat="1" applyFill="1" applyBorder="1"/>
    <xf numFmtId="0" fontId="0" fillId="8" borderId="0" xfId="0" applyFill="1"/>
    <xf numFmtId="0" fontId="0" fillId="9" borderId="0" xfId="0" applyFill="1"/>
    <xf numFmtId="0" fontId="0" fillId="8" borderId="1" xfId="0" applyFill="1" applyBorder="1"/>
    <xf numFmtId="44" fontId="0" fillId="10" borderId="0" xfId="0" applyNumberFormat="1" applyFill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44" fontId="0" fillId="0" borderId="0" xfId="1" applyFont="1" applyBorder="1"/>
    <xf numFmtId="44" fontId="2" fillId="0" borderId="0" xfId="1" applyFont="1" applyBorder="1"/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44" fontId="0" fillId="3" borderId="0" xfId="0" applyNumberFormat="1" applyFill="1" applyBorder="1"/>
    <xf numFmtId="44" fontId="0" fillId="0" borderId="0" xfId="0" applyNumberFormat="1" applyBorder="1"/>
    <xf numFmtId="0" fontId="0" fillId="5" borderId="0" xfId="0" applyFill="1" applyBorder="1"/>
    <xf numFmtId="44" fontId="0" fillId="5" borderId="0" xfId="0" applyNumberFormat="1" applyFill="1" applyBorder="1"/>
    <xf numFmtId="0" fontId="0" fillId="6" borderId="0" xfId="0" applyFill="1" applyBorder="1"/>
    <xf numFmtId="44" fontId="0" fillId="6" borderId="0" xfId="0" applyNumberForma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5" xfId="0" applyNumberFormat="1" applyBorder="1"/>
    <xf numFmtId="0" fontId="0" fillId="0" borderId="6" xfId="0" applyBorder="1"/>
    <xf numFmtId="0" fontId="0" fillId="0" borderId="5" xfId="0" applyBorder="1"/>
    <xf numFmtId="44" fontId="0" fillId="0" borderId="6" xfId="0" applyNumberFormat="1" applyBorder="1"/>
    <xf numFmtId="0" fontId="0" fillId="0" borderId="7" xfId="0" applyBorder="1"/>
    <xf numFmtId="0" fontId="0" fillId="0" borderId="8" xfId="0" applyBorder="1"/>
    <xf numFmtId="44" fontId="0" fillId="0" borderId="9" xfId="0" applyNumberFormat="1" applyBorder="1"/>
    <xf numFmtId="0" fontId="0" fillId="0" borderId="3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F077-7E4F-4446-BB81-7EDE9245CA53}">
  <dimension ref="A1:V150"/>
  <sheetViews>
    <sheetView tabSelected="1" workbookViewId="0">
      <selection activeCell="H8" sqref="H8"/>
    </sheetView>
  </sheetViews>
  <sheetFormatPr baseColWidth="10" defaultRowHeight="14.4" x14ac:dyDescent="0.3"/>
  <cols>
    <col min="2" max="2" width="16.6640625" customWidth="1"/>
    <col min="4" max="4" width="12.88671875" bestFit="1" customWidth="1"/>
    <col min="7" max="7" width="13" customWidth="1"/>
    <col min="8" max="8" width="16.33203125" customWidth="1"/>
    <col min="9" max="9" width="2.88671875" customWidth="1"/>
    <col min="10" max="10" width="15" customWidth="1"/>
    <col min="11" max="11" width="16" customWidth="1"/>
    <col min="12" max="12" width="17.88671875" customWidth="1"/>
    <col min="13" max="13" width="17" customWidth="1"/>
    <col min="14" max="14" width="19.33203125" customWidth="1"/>
  </cols>
  <sheetData>
    <row r="1" spans="1:14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30" customHeight="1" x14ac:dyDescent="0.3">
      <c r="A4" s="26"/>
      <c r="B4" s="26"/>
      <c r="C4" s="26"/>
      <c r="D4" s="26"/>
      <c r="E4" s="26"/>
      <c r="F4" s="27"/>
      <c r="G4" s="27"/>
      <c r="H4" s="27"/>
      <c r="I4" s="26"/>
      <c r="J4" s="26"/>
      <c r="K4" s="26"/>
      <c r="L4" s="26"/>
      <c r="M4" s="26"/>
      <c r="N4" s="26"/>
    </row>
    <row r="5" spans="1:14" x14ac:dyDescent="0.3">
      <c r="A5" s="28" t="s">
        <v>2</v>
      </c>
      <c r="B5" s="29" t="s">
        <v>3</v>
      </c>
      <c r="C5" s="29" t="s">
        <v>4</v>
      </c>
      <c r="D5" s="29" t="s">
        <v>5</v>
      </c>
      <c r="E5" s="26"/>
      <c r="F5" s="30" t="s">
        <v>6</v>
      </c>
      <c r="G5" s="29"/>
      <c r="H5" s="29"/>
      <c r="I5" s="26"/>
      <c r="J5" s="26" t="s">
        <v>7</v>
      </c>
      <c r="K5" s="26"/>
      <c r="L5" s="26"/>
      <c r="M5" s="26"/>
      <c r="N5" s="26"/>
    </row>
    <row r="6" spans="1:14" x14ac:dyDescent="0.3">
      <c r="A6" s="28"/>
      <c r="B6" s="26"/>
      <c r="C6" s="26"/>
      <c r="D6" s="26"/>
      <c r="E6" s="26"/>
      <c r="F6" s="26" t="s">
        <v>8</v>
      </c>
      <c r="G6" s="26" t="s">
        <v>9</v>
      </c>
      <c r="H6" s="31" t="s">
        <v>10</v>
      </c>
      <c r="I6" s="26"/>
      <c r="J6" s="26"/>
      <c r="K6" s="26"/>
      <c r="L6" s="26"/>
      <c r="M6" s="26"/>
      <c r="N6" s="26"/>
    </row>
    <row r="7" spans="1:14" x14ac:dyDescent="0.3">
      <c r="A7" s="31" t="s">
        <v>11</v>
      </c>
      <c r="B7" s="26" t="s">
        <v>12</v>
      </c>
      <c r="C7" s="32">
        <v>560</v>
      </c>
      <c r="D7" s="26"/>
      <c r="E7" s="26"/>
      <c r="F7" s="32">
        <f>+C7/240</f>
        <v>2.3333333333333335</v>
      </c>
      <c r="G7" s="32">
        <f>+F7*0.5</f>
        <v>1.1666666666666667</v>
      </c>
      <c r="H7" s="26"/>
      <c r="I7" s="26"/>
      <c r="J7" s="26"/>
      <c r="K7" s="26"/>
      <c r="L7" s="26"/>
      <c r="M7" s="26"/>
      <c r="N7" s="26"/>
    </row>
    <row r="8" spans="1:14" x14ac:dyDescent="0.3">
      <c r="A8" s="31" t="s">
        <v>13</v>
      </c>
      <c r="B8" s="26" t="s">
        <v>14</v>
      </c>
      <c r="C8" s="32">
        <f>720*1.05</f>
        <v>756</v>
      </c>
      <c r="D8" s="26" t="s">
        <v>15</v>
      </c>
      <c r="E8" s="26" t="s">
        <v>16</v>
      </c>
      <c r="F8" s="32">
        <f t="shared" ref="F8:F14" si="0">+C8/240</f>
        <v>3.15</v>
      </c>
      <c r="G8" s="32">
        <f t="shared" ref="G8:G14" si="1">+F8*0.5</f>
        <v>1.575</v>
      </c>
      <c r="H8" s="32">
        <f>+F8+G8</f>
        <v>4.7249999999999996</v>
      </c>
      <c r="I8" s="26"/>
      <c r="J8" s="32">
        <f>+H8*5</f>
        <v>23.625</v>
      </c>
      <c r="K8" s="26"/>
      <c r="L8" s="26"/>
      <c r="M8" s="26"/>
      <c r="N8" s="26"/>
    </row>
    <row r="9" spans="1:14" x14ac:dyDescent="0.3">
      <c r="A9" s="31" t="s">
        <v>17</v>
      </c>
      <c r="B9" s="26" t="s">
        <v>18</v>
      </c>
      <c r="C9" s="33">
        <v>475</v>
      </c>
      <c r="D9" s="26" t="s">
        <v>19</v>
      </c>
      <c r="E9" s="26" t="s">
        <v>16</v>
      </c>
      <c r="F9" s="32">
        <f t="shared" si="0"/>
        <v>1.9791666666666667</v>
      </c>
      <c r="G9" s="32">
        <f t="shared" si="1"/>
        <v>0.98958333333333337</v>
      </c>
      <c r="H9" s="32">
        <f>+F9+G9</f>
        <v>2.96875</v>
      </c>
      <c r="I9" s="26"/>
      <c r="J9" s="32">
        <f>+H9*4</f>
        <v>11.875</v>
      </c>
      <c r="K9" s="26"/>
      <c r="L9" s="26"/>
      <c r="M9" s="26"/>
      <c r="N9" s="26"/>
    </row>
    <row r="10" spans="1:14" x14ac:dyDescent="0.3">
      <c r="A10" s="31" t="s">
        <v>20</v>
      </c>
      <c r="B10" s="26" t="s">
        <v>18</v>
      </c>
      <c r="C10" s="32">
        <v>590</v>
      </c>
      <c r="D10" s="26"/>
      <c r="E10" s="26"/>
      <c r="F10" s="32">
        <f t="shared" si="0"/>
        <v>2.4583333333333335</v>
      </c>
      <c r="G10" s="32">
        <f t="shared" si="1"/>
        <v>1.2291666666666667</v>
      </c>
      <c r="H10" s="32"/>
      <c r="I10" s="26"/>
      <c r="J10" s="32"/>
      <c r="K10" s="26"/>
      <c r="L10" s="26"/>
      <c r="M10" s="26"/>
      <c r="N10" s="26"/>
    </row>
    <row r="11" spans="1:14" x14ac:dyDescent="0.3">
      <c r="A11" s="31" t="s">
        <v>21</v>
      </c>
      <c r="B11" s="26" t="s">
        <v>18</v>
      </c>
      <c r="C11" s="32">
        <f>720*1.05</f>
        <v>756</v>
      </c>
      <c r="D11" s="26"/>
      <c r="E11" s="26"/>
      <c r="F11" s="32">
        <f t="shared" si="0"/>
        <v>3.15</v>
      </c>
      <c r="G11" s="32">
        <f t="shared" si="1"/>
        <v>1.575</v>
      </c>
      <c r="H11" s="32"/>
      <c r="I11" s="26"/>
      <c r="J11" s="32"/>
      <c r="K11" s="26"/>
      <c r="L11" s="26"/>
      <c r="M11" s="26"/>
      <c r="N11" s="26"/>
    </row>
    <row r="12" spans="1:14" x14ac:dyDescent="0.3">
      <c r="A12" s="31" t="s">
        <v>22</v>
      </c>
      <c r="B12" s="26" t="s">
        <v>23</v>
      </c>
      <c r="C12" s="32">
        <v>483</v>
      </c>
      <c r="D12" s="26" t="s">
        <v>24</v>
      </c>
      <c r="E12" s="26" t="s">
        <v>16</v>
      </c>
      <c r="F12" s="32">
        <f t="shared" si="0"/>
        <v>2.0125000000000002</v>
      </c>
      <c r="G12" s="32">
        <f t="shared" si="1"/>
        <v>1.0062500000000001</v>
      </c>
      <c r="H12" s="32">
        <f>+F12+G12</f>
        <v>3.0187500000000003</v>
      </c>
      <c r="I12" s="26"/>
      <c r="J12" s="32">
        <f>+H12*10</f>
        <v>30.187500000000004</v>
      </c>
      <c r="K12" s="26"/>
      <c r="L12" s="26"/>
      <c r="M12" s="26"/>
      <c r="N12" s="26"/>
    </row>
    <row r="13" spans="1:14" x14ac:dyDescent="0.3">
      <c r="A13" s="31" t="s">
        <v>25</v>
      </c>
      <c r="B13" s="26" t="s">
        <v>23</v>
      </c>
      <c r="C13" s="32">
        <v>504</v>
      </c>
      <c r="D13" s="26"/>
      <c r="E13" s="26"/>
      <c r="F13" s="32">
        <f t="shared" si="0"/>
        <v>2.1</v>
      </c>
      <c r="G13" s="32">
        <f t="shared" si="1"/>
        <v>1.05</v>
      </c>
      <c r="H13" s="26"/>
      <c r="I13" s="26"/>
      <c r="J13" s="26"/>
      <c r="K13" s="26"/>
      <c r="L13" s="26"/>
      <c r="M13" s="26"/>
      <c r="N13" s="26"/>
    </row>
    <row r="14" spans="1:14" x14ac:dyDescent="0.3">
      <c r="A14" s="31" t="s">
        <v>26</v>
      </c>
      <c r="B14" s="26" t="s">
        <v>23</v>
      </c>
      <c r="C14" s="32">
        <v>520</v>
      </c>
      <c r="D14" s="26"/>
      <c r="E14" s="26"/>
      <c r="F14" s="32">
        <f t="shared" si="0"/>
        <v>2.1666666666666665</v>
      </c>
      <c r="G14" s="32">
        <f t="shared" si="1"/>
        <v>1.0833333333333333</v>
      </c>
      <c r="H14" s="26"/>
      <c r="I14" s="26"/>
      <c r="J14" s="26"/>
      <c r="K14" s="26"/>
      <c r="L14" s="26"/>
      <c r="M14" s="26"/>
      <c r="N14" s="26"/>
    </row>
    <row r="15" spans="1:14" x14ac:dyDescent="0.3">
      <c r="A15" s="34" t="s">
        <v>27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x14ac:dyDescent="0.3">
      <c r="A16" s="34" t="s">
        <v>28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x14ac:dyDescent="0.3">
      <c r="A17" s="34" t="s">
        <v>29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x14ac:dyDescent="0.3">
      <c r="A18" s="34" t="s">
        <v>30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x14ac:dyDescent="0.3">
      <c r="A19" s="34" t="s">
        <v>31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x14ac:dyDescent="0.3">
      <c r="A20" s="34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x14ac:dyDescent="0.3">
      <c r="A21" s="30" t="s">
        <v>133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x14ac:dyDescent="0.3">
      <c r="A22" s="30" t="s">
        <v>32</v>
      </c>
      <c r="B22" s="26"/>
      <c r="C22" s="26"/>
      <c r="D22" s="26"/>
      <c r="E22" s="26"/>
      <c r="F22" s="26"/>
      <c r="G22" s="26"/>
      <c r="H22" s="26"/>
      <c r="I22" s="26"/>
      <c r="J22" s="26"/>
      <c r="K22" s="35" t="s">
        <v>33</v>
      </c>
      <c r="L22" s="26"/>
      <c r="M22" s="35" t="s">
        <v>34</v>
      </c>
      <c r="N22" s="35" t="s">
        <v>35</v>
      </c>
    </row>
    <row r="23" spans="1:14" x14ac:dyDescent="0.3">
      <c r="A23" s="34"/>
      <c r="B23" s="26"/>
      <c r="C23" s="26"/>
      <c r="D23" s="26"/>
      <c r="E23" s="26"/>
      <c r="F23" s="36" t="s">
        <v>36</v>
      </c>
      <c r="G23" s="31" t="s">
        <v>37</v>
      </c>
      <c r="H23" s="31" t="s">
        <v>37</v>
      </c>
      <c r="I23" s="31"/>
      <c r="J23" s="31" t="s">
        <v>38</v>
      </c>
      <c r="K23" s="31" t="s">
        <v>39</v>
      </c>
      <c r="L23" s="31" t="s">
        <v>40</v>
      </c>
      <c r="M23" s="31" t="s">
        <v>39</v>
      </c>
      <c r="N23" s="31" t="s">
        <v>41</v>
      </c>
    </row>
    <row r="24" spans="1:14" x14ac:dyDescent="0.3">
      <c r="A24" s="34" t="s">
        <v>42</v>
      </c>
      <c r="B24" s="26" t="s">
        <v>3</v>
      </c>
      <c r="C24" s="26" t="s">
        <v>4</v>
      </c>
      <c r="D24" s="26" t="s">
        <v>43</v>
      </c>
      <c r="E24" s="26" t="s">
        <v>44</v>
      </c>
      <c r="F24" s="37" t="s">
        <v>45</v>
      </c>
      <c r="G24" s="31" t="s">
        <v>46</v>
      </c>
      <c r="H24" s="31" t="s">
        <v>47</v>
      </c>
      <c r="I24" s="31"/>
      <c r="J24" s="31" t="s">
        <v>48</v>
      </c>
      <c r="K24" s="31" t="s">
        <v>49</v>
      </c>
      <c r="L24" s="31" t="s">
        <v>50</v>
      </c>
      <c r="M24" s="31" t="s">
        <v>51</v>
      </c>
      <c r="N24" s="31" t="s">
        <v>52</v>
      </c>
    </row>
    <row r="25" spans="1:14" x14ac:dyDescent="0.3">
      <c r="A25" s="38" t="s">
        <v>11</v>
      </c>
      <c r="B25" s="26" t="s">
        <v>12</v>
      </c>
      <c r="C25" s="32">
        <v>560</v>
      </c>
      <c r="D25" s="26"/>
      <c r="E25" s="19">
        <f>+C25*0.3</f>
        <v>168</v>
      </c>
      <c r="F25" s="39">
        <f>+C25+D25+E25</f>
        <v>728</v>
      </c>
      <c r="G25" s="19">
        <f>+F25/12</f>
        <v>60.666666666666664</v>
      </c>
      <c r="H25" s="19">
        <v>39.166666666666664</v>
      </c>
      <c r="I25" s="19"/>
      <c r="J25" s="19">
        <v>0</v>
      </c>
      <c r="K25" s="40">
        <f>SUM(F25:J25)</f>
        <v>827.83333333333326</v>
      </c>
      <c r="L25" s="19">
        <f>+F25*9.45%</f>
        <v>68.795999999999992</v>
      </c>
      <c r="M25" s="40">
        <f>+L25</f>
        <v>68.795999999999992</v>
      </c>
      <c r="N25" s="40">
        <f>+K25-M25</f>
        <v>759.03733333333321</v>
      </c>
    </row>
    <row r="26" spans="1:14" x14ac:dyDescent="0.3">
      <c r="A26" s="31" t="s">
        <v>13</v>
      </c>
      <c r="B26" s="26" t="s">
        <v>14</v>
      </c>
      <c r="C26" s="32">
        <f>720*1.05</f>
        <v>756</v>
      </c>
      <c r="D26" s="40">
        <f>+J8</f>
        <v>23.625</v>
      </c>
      <c r="E26" s="26"/>
      <c r="F26" s="39">
        <f t="shared" ref="F26:F32" si="2">+C26+D26+E26</f>
        <v>779.625</v>
      </c>
      <c r="G26" s="19"/>
      <c r="H26" s="19"/>
      <c r="I26" s="19"/>
      <c r="J26" s="19"/>
      <c r="K26" s="40">
        <f t="shared" ref="K26:K32" si="3">SUM(F26:J26)</f>
        <v>779.625</v>
      </c>
      <c r="L26" s="19">
        <f t="shared" ref="L26:L32" si="4">+F26*9.45%</f>
        <v>73.674562499999993</v>
      </c>
      <c r="M26" s="40">
        <f t="shared" ref="M26:M33" si="5">+L26</f>
        <v>73.674562499999993</v>
      </c>
      <c r="N26" s="40">
        <f t="shared" ref="N26:N32" si="6">+K26-M26</f>
        <v>705.95043750000002</v>
      </c>
    </row>
    <row r="27" spans="1:14" x14ac:dyDescent="0.3">
      <c r="A27" s="31" t="s">
        <v>17</v>
      </c>
      <c r="B27" s="41" t="s">
        <v>18</v>
      </c>
      <c r="C27" s="32">
        <v>475</v>
      </c>
      <c r="D27" s="40">
        <f>+J9</f>
        <v>11.875</v>
      </c>
      <c r="E27" s="26"/>
      <c r="F27" s="39">
        <f t="shared" si="2"/>
        <v>486.875</v>
      </c>
      <c r="G27" s="19"/>
      <c r="H27" s="19"/>
      <c r="I27" s="19"/>
      <c r="J27" s="19"/>
      <c r="K27" s="42">
        <f t="shared" si="3"/>
        <v>486.875</v>
      </c>
      <c r="L27" s="19">
        <f t="shared" si="4"/>
        <v>46.009687499999991</v>
      </c>
      <c r="M27" s="40">
        <f t="shared" si="5"/>
        <v>46.009687499999991</v>
      </c>
      <c r="N27" s="40">
        <f t="shared" si="6"/>
        <v>440.86531250000002</v>
      </c>
    </row>
    <row r="28" spans="1:14" x14ac:dyDescent="0.3">
      <c r="A28" s="38" t="s">
        <v>20</v>
      </c>
      <c r="B28" s="41" t="s">
        <v>18</v>
      </c>
      <c r="C28" s="32">
        <v>590</v>
      </c>
      <c r="D28" s="26"/>
      <c r="E28" s="19">
        <f>+C28*0.1</f>
        <v>59</v>
      </c>
      <c r="F28" s="39">
        <f t="shared" si="2"/>
        <v>649</v>
      </c>
      <c r="G28" s="19">
        <f>+F28/12</f>
        <v>54.083333333333336</v>
      </c>
      <c r="H28" s="19">
        <v>39.166666666666664</v>
      </c>
      <c r="I28" s="19"/>
      <c r="J28" s="19">
        <f>+F28*8.33%</f>
        <v>54.061700000000002</v>
      </c>
      <c r="K28" s="42">
        <f t="shared" si="3"/>
        <v>796.31169999999997</v>
      </c>
      <c r="L28" s="19">
        <f t="shared" si="4"/>
        <v>61.330499999999994</v>
      </c>
      <c r="M28" s="40">
        <f t="shared" si="5"/>
        <v>61.330499999999994</v>
      </c>
      <c r="N28" s="40">
        <f t="shared" si="6"/>
        <v>734.98119999999994</v>
      </c>
    </row>
    <row r="29" spans="1:14" x14ac:dyDescent="0.3">
      <c r="A29" s="31" t="s">
        <v>21</v>
      </c>
      <c r="B29" s="41" t="s">
        <v>18</v>
      </c>
      <c r="C29" s="32">
        <f>720*1.05</f>
        <v>756</v>
      </c>
      <c r="D29" s="26"/>
      <c r="E29" s="19">
        <f>+C29*0.07</f>
        <v>52.92</v>
      </c>
      <c r="F29" s="39">
        <f t="shared" si="2"/>
        <v>808.92</v>
      </c>
      <c r="G29" s="19"/>
      <c r="H29" s="19"/>
      <c r="I29" s="19"/>
      <c r="J29" s="19"/>
      <c r="K29" s="42">
        <f t="shared" si="3"/>
        <v>808.92</v>
      </c>
      <c r="L29" s="19">
        <f t="shared" si="4"/>
        <v>76.442939999999979</v>
      </c>
      <c r="M29" s="40">
        <f t="shared" si="5"/>
        <v>76.442939999999979</v>
      </c>
      <c r="N29" s="40">
        <f t="shared" si="6"/>
        <v>732.47705999999994</v>
      </c>
    </row>
    <row r="30" spans="1:14" x14ac:dyDescent="0.3">
      <c r="A30" s="31" t="s">
        <v>22</v>
      </c>
      <c r="B30" s="43" t="s">
        <v>23</v>
      </c>
      <c r="C30" s="32">
        <v>483</v>
      </c>
      <c r="D30" s="40">
        <f>+J12</f>
        <v>30.187500000000004</v>
      </c>
      <c r="E30" s="26"/>
      <c r="F30" s="39">
        <f t="shared" si="2"/>
        <v>513.1875</v>
      </c>
      <c r="G30" s="32"/>
      <c r="H30" s="32"/>
      <c r="I30" s="32"/>
      <c r="J30" s="32"/>
      <c r="K30" s="44">
        <f t="shared" si="3"/>
        <v>513.1875</v>
      </c>
      <c r="L30" s="19">
        <f t="shared" si="4"/>
        <v>48.49621874999999</v>
      </c>
      <c r="M30" s="40">
        <f t="shared" si="5"/>
        <v>48.49621874999999</v>
      </c>
      <c r="N30" s="40">
        <f t="shared" si="6"/>
        <v>464.69128125000003</v>
      </c>
    </row>
    <row r="31" spans="1:14" x14ac:dyDescent="0.3">
      <c r="A31" s="31" t="s">
        <v>25</v>
      </c>
      <c r="B31" s="43" t="s">
        <v>23</v>
      </c>
      <c r="C31" s="32">
        <v>504</v>
      </c>
      <c r="D31" s="26"/>
      <c r="E31" s="32">
        <f>+C31*0.1</f>
        <v>50.400000000000006</v>
      </c>
      <c r="F31" s="39">
        <f t="shared" si="2"/>
        <v>554.4</v>
      </c>
      <c r="G31" s="32"/>
      <c r="H31" s="32"/>
      <c r="I31" s="32"/>
      <c r="J31" s="32"/>
      <c r="K31" s="44">
        <f t="shared" si="3"/>
        <v>554.4</v>
      </c>
      <c r="L31" s="19">
        <f t="shared" si="4"/>
        <v>52.390799999999992</v>
      </c>
      <c r="M31" s="40">
        <f t="shared" si="5"/>
        <v>52.390799999999992</v>
      </c>
      <c r="N31" s="40">
        <f t="shared" si="6"/>
        <v>502.00919999999996</v>
      </c>
    </row>
    <row r="32" spans="1:14" x14ac:dyDescent="0.3">
      <c r="A32" s="31" t="s">
        <v>26</v>
      </c>
      <c r="B32" s="43" t="s">
        <v>23</v>
      </c>
      <c r="C32" s="32">
        <v>520</v>
      </c>
      <c r="D32" s="26"/>
      <c r="E32" s="32">
        <f>+C32*0.03</f>
        <v>15.6</v>
      </c>
      <c r="F32" s="39">
        <f t="shared" si="2"/>
        <v>535.6</v>
      </c>
      <c r="G32" s="32"/>
      <c r="H32" s="32"/>
      <c r="I32" s="32"/>
      <c r="J32" s="32"/>
      <c r="K32" s="44">
        <f t="shared" si="3"/>
        <v>535.6</v>
      </c>
      <c r="L32" s="19">
        <f t="shared" si="4"/>
        <v>50.614199999999997</v>
      </c>
      <c r="M32" s="40">
        <f t="shared" si="5"/>
        <v>50.614199999999997</v>
      </c>
      <c r="N32" s="40">
        <f t="shared" si="6"/>
        <v>484.98580000000004</v>
      </c>
    </row>
    <row r="33" spans="1:14" x14ac:dyDescent="0.3">
      <c r="A33" s="34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40">
        <f>SUM(L25:L32)</f>
        <v>477.75490874999991</v>
      </c>
      <c r="M33" s="40">
        <f t="shared" si="5"/>
        <v>477.75490874999991</v>
      </c>
      <c r="N33" s="40">
        <f>SUM(N25:N32)</f>
        <v>4824.9976245833341</v>
      </c>
    </row>
    <row r="34" spans="1:14" x14ac:dyDescent="0.3">
      <c r="A34" s="1"/>
      <c r="C34" s="2" t="s">
        <v>37</v>
      </c>
      <c r="D34" s="2" t="s">
        <v>37</v>
      </c>
      <c r="E34" t="s">
        <v>53</v>
      </c>
      <c r="F34" t="s">
        <v>54</v>
      </c>
    </row>
    <row r="35" spans="1:14" x14ac:dyDescent="0.3">
      <c r="A35" s="3" t="s">
        <v>59</v>
      </c>
      <c r="C35" s="2" t="s">
        <v>46</v>
      </c>
      <c r="D35" s="2" t="s">
        <v>47</v>
      </c>
      <c r="E35" t="s">
        <v>60</v>
      </c>
      <c r="F35" t="s">
        <v>61</v>
      </c>
      <c r="G35" t="s">
        <v>62</v>
      </c>
      <c r="H35" t="s">
        <v>39</v>
      </c>
    </row>
    <row r="36" spans="1:14" x14ac:dyDescent="0.3">
      <c r="A36" s="1" t="s">
        <v>42</v>
      </c>
      <c r="B36" t="s">
        <v>3</v>
      </c>
    </row>
    <row r="37" spans="1:14" x14ac:dyDescent="0.3">
      <c r="A37" s="2" t="s">
        <v>11</v>
      </c>
      <c r="B37" t="s">
        <v>12</v>
      </c>
      <c r="C37" s="6">
        <v>0</v>
      </c>
      <c r="D37" s="6">
        <v>0</v>
      </c>
      <c r="E37" s="6">
        <v>0</v>
      </c>
      <c r="F37" s="6">
        <f>+F25*12.15%</f>
        <v>88.451999999999998</v>
      </c>
      <c r="G37" s="6">
        <f>+F25/24</f>
        <v>30.333333333333332</v>
      </c>
      <c r="H37" s="6">
        <f>SUM(C37:G37)</f>
        <v>118.78533333333333</v>
      </c>
    </row>
    <row r="38" spans="1:14" x14ac:dyDescent="0.3">
      <c r="A38" s="7" t="s">
        <v>13</v>
      </c>
      <c r="B38" t="s">
        <v>14</v>
      </c>
      <c r="C38" s="6">
        <f>+F26/12</f>
        <v>64.96875</v>
      </c>
      <c r="D38" s="6">
        <v>39.166666666666664</v>
      </c>
      <c r="E38" s="6">
        <f>+F26*8.33%</f>
        <v>64.942762500000001</v>
      </c>
      <c r="F38" s="6">
        <f>+F26*12.15%</f>
        <v>94.724437499999993</v>
      </c>
      <c r="G38" s="6">
        <f>+F26/24</f>
        <v>32.484375</v>
      </c>
      <c r="H38" s="6">
        <f t="shared" ref="H38:H44" si="7">SUM(C38:G38)</f>
        <v>296.28699166666661</v>
      </c>
    </row>
    <row r="39" spans="1:14" x14ac:dyDescent="0.3">
      <c r="A39" s="2" t="s">
        <v>17</v>
      </c>
      <c r="B39" s="8" t="s">
        <v>18</v>
      </c>
      <c r="C39" s="6">
        <f>+F27/12</f>
        <v>40.572916666666664</v>
      </c>
      <c r="D39" s="6">
        <v>39.166666666666664</v>
      </c>
      <c r="E39" s="6">
        <v>0</v>
      </c>
      <c r="F39" s="6">
        <f t="shared" ref="F39:F44" si="8">+F27*12.15%</f>
        <v>59.155312500000001</v>
      </c>
      <c r="G39" s="6">
        <f t="shared" ref="G39:G44" si="9">+F27/24</f>
        <v>20.286458333333332</v>
      </c>
      <c r="H39" s="10">
        <f t="shared" si="7"/>
        <v>159.18135416666667</v>
      </c>
    </row>
    <row r="40" spans="1:14" x14ac:dyDescent="0.3">
      <c r="A40" s="7" t="s">
        <v>20</v>
      </c>
      <c r="B40" s="8" t="s">
        <v>18</v>
      </c>
      <c r="C40" s="6">
        <v>0</v>
      </c>
      <c r="D40" s="6">
        <v>0</v>
      </c>
      <c r="E40" s="6">
        <v>0</v>
      </c>
      <c r="F40" s="6">
        <f t="shared" si="8"/>
        <v>78.853499999999997</v>
      </c>
      <c r="G40" s="6">
        <f t="shared" si="9"/>
        <v>27.041666666666668</v>
      </c>
      <c r="H40" s="10">
        <f t="shared" si="7"/>
        <v>105.89516666666667</v>
      </c>
    </row>
    <row r="41" spans="1:14" x14ac:dyDescent="0.3">
      <c r="A41" s="2" t="s">
        <v>21</v>
      </c>
      <c r="B41" s="8" t="s">
        <v>18</v>
      </c>
      <c r="C41" s="6">
        <f>+F29/12</f>
        <v>67.41</v>
      </c>
      <c r="D41" s="6">
        <v>39.166666666666664</v>
      </c>
      <c r="E41" s="6">
        <v>0</v>
      </c>
      <c r="F41" s="6">
        <f t="shared" si="8"/>
        <v>98.283779999999993</v>
      </c>
      <c r="G41" s="6">
        <f t="shared" si="9"/>
        <v>33.704999999999998</v>
      </c>
      <c r="H41" s="10">
        <f t="shared" si="7"/>
        <v>238.56544666666662</v>
      </c>
    </row>
    <row r="42" spans="1:14" x14ac:dyDescent="0.3">
      <c r="A42" s="2" t="s">
        <v>22</v>
      </c>
      <c r="B42" s="11" t="s">
        <v>23</v>
      </c>
      <c r="C42" s="6">
        <f t="shared" ref="C42:C44" si="10">+F30/12</f>
        <v>42.765625</v>
      </c>
      <c r="D42" s="6">
        <v>39.166666666666664</v>
      </c>
      <c r="E42" s="6">
        <v>0</v>
      </c>
      <c r="F42" s="6">
        <f t="shared" si="8"/>
        <v>62.352281249999997</v>
      </c>
      <c r="G42" s="6">
        <f t="shared" si="9"/>
        <v>21.3828125</v>
      </c>
      <c r="H42" s="12">
        <f t="shared" si="7"/>
        <v>165.66738541666666</v>
      </c>
    </row>
    <row r="43" spans="1:14" x14ac:dyDescent="0.3">
      <c r="A43" s="7" t="s">
        <v>25</v>
      </c>
      <c r="B43" s="11" t="s">
        <v>23</v>
      </c>
      <c r="C43" s="6">
        <f t="shared" si="10"/>
        <v>46.199999999999996</v>
      </c>
      <c r="D43" s="6">
        <v>39.166666666666664</v>
      </c>
      <c r="E43" s="6">
        <f>+F31*8.33%</f>
        <v>46.181519999999999</v>
      </c>
      <c r="F43" s="6">
        <f t="shared" si="8"/>
        <v>67.3596</v>
      </c>
      <c r="G43" s="6">
        <f t="shared" si="9"/>
        <v>23.099999999999998</v>
      </c>
      <c r="H43" s="12">
        <f t="shared" si="7"/>
        <v>222.00778666666665</v>
      </c>
    </row>
    <row r="44" spans="1:14" x14ac:dyDescent="0.3">
      <c r="A44" s="2" t="s">
        <v>26</v>
      </c>
      <c r="B44" s="11" t="s">
        <v>23</v>
      </c>
      <c r="C44" s="6">
        <f t="shared" si="10"/>
        <v>44.633333333333333</v>
      </c>
      <c r="D44" s="6">
        <v>39.166666666666664</v>
      </c>
      <c r="E44" s="6">
        <v>0</v>
      </c>
      <c r="F44" s="6">
        <f t="shared" si="8"/>
        <v>65.075400000000002</v>
      </c>
      <c r="G44" s="6">
        <f t="shared" si="9"/>
        <v>22.316666666666666</v>
      </c>
      <c r="H44" s="12">
        <f t="shared" si="7"/>
        <v>171.19206666666668</v>
      </c>
    </row>
    <row r="45" spans="1:14" x14ac:dyDescent="0.3">
      <c r="A45" s="1"/>
      <c r="B45" t="s">
        <v>39</v>
      </c>
      <c r="C45" s="6">
        <f>SUM(C37:C44)</f>
        <v>306.55062499999997</v>
      </c>
      <c r="D45" s="6">
        <f t="shared" ref="D45:H45" si="11">SUM(D37:D44)</f>
        <v>234.99999999999997</v>
      </c>
      <c r="E45" s="6">
        <f t="shared" si="11"/>
        <v>111.12428249999999</v>
      </c>
      <c r="F45" s="6">
        <f t="shared" si="11"/>
        <v>614.25631124999995</v>
      </c>
      <c r="G45" s="6">
        <f t="shared" si="11"/>
        <v>210.65031249999998</v>
      </c>
      <c r="H45" s="6">
        <f t="shared" si="11"/>
        <v>1477.5815312499999</v>
      </c>
    </row>
    <row r="46" spans="1:14" x14ac:dyDescent="0.3">
      <c r="A46" s="1"/>
    </row>
    <row r="47" spans="1:14" ht="15" thickBot="1" x14ac:dyDescent="0.35">
      <c r="A47" t="s">
        <v>134</v>
      </c>
      <c r="B47" s="13"/>
      <c r="C47" s="13"/>
    </row>
    <row r="48" spans="1:14" x14ac:dyDescent="0.3">
      <c r="A48" s="45" t="s">
        <v>55</v>
      </c>
      <c r="B48" s="46"/>
      <c r="C48" s="46" t="s">
        <v>56</v>
      </c>
      <c r="D48" s="46"/>
      <c r="E48" s="46" t="s">
        <v>57</v>
      </c>
      <c r="F48" s="47" t="s">
        <v>58</v>
      </c>
    </row>
    <row r="49" spans="1:16" x14ac:dyDescent="0.3">
      <c r="A49" s="48">
        <v>45930</v>
      </c>
      <c r="B49" s="26"/>
      <c r="C49" s="26" t="s">
        <v>63</v>
      </c>
      <c r="D49" s="26"/>
      <c r="E49" s="26"/>
      <c r="F49" s="49"/>
    </row>
    <row r="50" spans="1:16" x14ac:dyDescent="0.3">
      <c r="A50" s="50"/>
      <c r="B50" s="26" t="s">
        <v>64</v>
      </c>
      <c r="C50" s="26"/>
      <c r="D50" s="26"/>
      <c r="E50" s="40">
        <f>+K25</f>
        <v>827.83333333333326</v>
      </c>
      <c r="F50" s="49"/>
    </row>
    <row r="51" spans="1:16" x14ac:dyDescent="0.3">
      <c r="A51" s="50"/>
      <c r="B51" s="26" t="s">
        <v>65</v>
      </c>
      <c r="C51" s="26"/>
      <c r="D51" s="26"/>
      <c r="E51" s="40">
        <f>+K26</f>
        <v>779.625</v>
      </c>
      <c r="F51" s="49"/>
    </row>
    <row r="52" spans="1:16" x14ac:dyDescent="0.3">
      <c r="A52" s="50"/>
      <c r="B52" s="41" t="s">
        <v>66</v>
      </c>
      <c r="C52" s="41"/>
      <c r="D52" s="41"/>
      <c r="E52" s="42">
        <f>SUM(K27:K29)</f>
        <v>2092.1066999999998</v>
      </c>
      <c r="F52" s="49"/>
    </row>
    <row r="53" spans="1:16" x14ac:dyDescent="0.3">
      <c r="A53" s="50"/>
      <c r="B53" s="26" t="s">
        <v>67</v>
      </c>
      <c r="C53" s="26"/>
      <c r="D53" s="26"/>
      <c r="E53" s="40">
        <f>SUM(K30:K32)</f>
        <v>1603.1875</v>
      </c>
      <c r="F53" s="49"/>
    </row>
    <row r="54" spans="1:16" x14ac:dyDescent="0.3">
      <c r="A54" s="50"/>
      <c r="B54" s="26"/>
      <c r="C54" s="26" t="s">
        <v>68</v>
      </c>
      <c r="D54" s="26"/>
      <c r="E54" s="26"/>
      <c r="F54" s="51">
        <f>+L33</f>
        <v>477.75490874999991</v>
      </c>
    </row>
    <row r="55" spans="1:16" x14ac:dyDescent="0.3">
      <c r="A55" s="50"/>
      <c r="B55" s="26"/>
      <c r="C55" s="26" t="s">
        <v>69</v>
      </c>
      <c r="D55" s="26"/>
      <c r="E55" s="26"/>
      <c r="F55" s="51">
        <f>+N33</f>
        <v>4824.9976245833341</v>
      </c>
      <c r="O55" s="5"/>
      <c r="P55" s="5"/>
    </row>
    <row r="56" spans="1:16" x14ac:dyDescent="0.3">
      <c r="A56" s="48">
        <v>45930</v>
      </c>
      <c r="B56" s="26"/>
      <c r="C56" s="26" t="s">
        <v>70</v>
      </c>
      <c r="D56" s="26"/>
      <c r="E56" s="26"/>
      <c r="F56" s="49"/>
      <c r="O56" s="5"/>
      <c r="P56" s="5"/>
    </row>
    <row r="57" spans="1:16" x14ac:dyDescent="0.3">
      <c r="A57" s="50"/>
      <c r="B57" s="26" t="s">
        <v>64</v>
      </c>
      <c r="C57" s="26"/>
      <c r="D57" s="26"/>
      <c r="E57" s="40">
        <f>+H37</f>
        <v>118.78533333333333</v>
      </c>
      <c r="F57" s="49"/>
      <c r="O57" s="5"/>
      <c r="P57" s="5"/>
    </row>
    <row r="58" spans="1:16" x14ac:dyDescent="0.3">
      <c r="A58" s="50"/>
      <c r="B58" s="26" t="s">
        <v>65</v>
      </c>
      <c r="C58" s="26"/>
      <c r="D58" s="26"/>
      <c r="E58" s="40">
        <f>+H38</f>
        <v>296.28699166666661</v>
      </c>
      <c r="F58" s="49"/>
      <c r="O58" s="5"/>
      <c r="P58" s="5"/>
    </row>
    <row r="59" spans="1:16" x14ac:dyDescent="0.3">
      <c r="A59" s="50"/>
      <c r="B59" s="41" t="s">
        <v>66</v>
      </c>
      <c r="C59" s="41"/>
      <c r="D59" s="41"/>
      <c r="E59" s="42">
        <f>SUM(H39:H41)</f>
        <v>503.64196749999996</v>
      </c>
      <c r="F59" s="49"/>
      <c r="O59" s="5"/>
      <c r="P59" s="5"/>
    </row>
    <row r="60" spans="1:16" x14ac:dyDescent="0.3">
      <c r="A60" s="50"/>
      <c r="B60" s="26" t="s">
        <v>67</v>
      </c>
      <c r="C60" s="26"/>
      <c r="D60" s="26"/>
      <c r="E60" s="40">
        <f>SUM(H42:H44)</f>
        <v>558.86723875000007</v>
      </c>
      <c r="F60" s="49"/>
      <c r="O60" s="5"/>
      <c r="P60" s="5"/>
    </row>
    <row r="61" spans="1:16" x14ac:dyDescent="0.3">
      <c r="A61" s="50"/>
      <c r="B61" s="26"/>
      <c r="C61" s="26" t="s">
        <v>71</v>
      </c>
      <c r="D61" s="26"/>
      <c r="E61" s="26"/>
      <c r="F61" s="51">
        <f>+C45</f>
        <v>306.55062499999997</v>
      </c>
      <c r="O61" s="5"/>
      <c r="P61" s="5"/>
    </row>
    <row r="62" spans="1:16" x14ac:dyDescent="0.3">
      <c r="A62" s="50"/>
      <c r="B62" s="26"/>
      <c r="C62" s="26" t="s">
        <v>72</v>
      </c>
      <c r="D62" s="26"/>
      <c r="E62" s="26"/>
      <c r="F62" s="51">
        <f>+D45</f>
        <v>234.99999999999997</v>
      </c>
      <c r="O62" s="5"/>
      <c r="P62" s="5"/>
    </row>
    <row r="63" spans="1:16" x14ac:dyDescent="0.3">
      <c r="A63" s="50"/>
      <c r="B63" s="26"/>
      <c r="C63" s="26" t="s">
        <v>73</v>
      </c>
      <c r="D63" s="26"/>
      <c r="E63" s="26"/>
      <c r="F63" s="51">
        <f>+E45</f>
        <v>111.12428249999999</v>
      </c>
      <c r="O63" s="5"/>
      <c r="P63" s="5"/>
    </row>
    <row r="64" spans="1:16" x14ac:dyDescent="0.3">
      <c r="A64" s="50"/>
      <c r="B64" s="26"/>
      <c r="C64" s="26" t="s">
        <v>68</v>
      </c>
      <c r="D64" s="26"/>
      <c r="E64" s="26"/>
      <c r="F64" s="51">
        <f>+F45</f>
        <v>614.25631124999995</v>
      </c>
      <c r="O64" s="5"/>
      <c r="P64" s="5"/>
    </row>
    <row r="65" spans="1:22" ht="15" thickBot="1" x14ac:dyDescent="0.35">
      <c r="A65" s="52"/>
      <c r="B65" s="53"/>
      <c r="C65" s="53" t="s">
        <v>74</v>
      </c>
      <c r="D65" s="53"/>
      <c r="E65" s="53"/>
      <c r="F65" s="54">
        <f>+G45</f>
        <v>210.65031249999998</v>
      </c>
      <c r="O65" s="5"/>
      <c r="P65" s="5"/>
    </row>
    <row r="66" spans="1:22" x14ac:dyDescent="0.3">
      <c r="O66" s="5"/>
      <c r="P66" s="5"/>
    </row>
    <row r="67" spans="1:22" x14ac:dyDescent="0.3">
      <c r="A67" s="3" t="s">
        <v>77</v>
      </c>
    </row>
    <row r="68" spans="1:22" x14ac:dyDescent="0.3">
      <c r="A68" s="14" t="s">
        <v>2</v>
      </c>
    </row>
    <row r="69" spans="1:22" x14ac:dyDescent="0.3">
      <c r="A69" s="14"/>
      <c r="B69" s="13" t="s">
        <v>79</v>
      </c>
      <c r="E69" s="13" t="s">
        <v>80</v>
      </c>
      <c r="J69" s="13" t="s">
        <v>81</v>
      </c>
      <c r="N69" s="13"/>
    </row>
    <row r="70" spans="1:22" x14ac:dyDescent="0.3">
      <c r="B70" t="s">
        <v>82</v>
      </c>
      <c r="C70" t="s">
        <v>83</v>
      </c>
      <c r="J70" t="s">
        <v>84</v>
      </c>
    </row>
    <row r="71" spans="1:22" x14ac:dyDescent="0.3">
      <c r="A71" s="2" t="s">
        <v>11</v>
      </c>
      <c r="B71">
        <v>560</v>
      </c>
      <c r="C71">
        <v>560</v>
      </c>
      <c r="E71" t="s">
        <v>85</v>
      </c>
      <c r="N71" s="15"/>
      <c r="O71" s="15"/>
      <c r="P71" s="15"/>
    </row>
    <row r="72" spans="1:22" x14ac:dyDescent="0.3">
      <c r="A72" s="2" t="s">
        <v>13</v>
      </c>
      <c r="B72">
        <v>720</v>
      </c>
      <c r="C72">
        <f>720*1.05</f>
        <v>756</v>
      </c>
      <c r="J72" t="s">
        <v>86</v>
      </c>
      <c r="N72" s="15"/>
      <c r="O72" s="15"/>
      <c r="P72" s="15"/>
      <c r="Q72" s="15"/>
      <c r="R72" s="15"/>
      <c r="S72" s="15"/>
      <c r="T72" s="15"/>
      <c r="U72" s="5"/>
      <c r="V72" s="5"/>
    </row>
    <row r="73" spans="1:22" x14ac:dyDescent="0.3">
      <c r="A73" s="2" t="s">
        <v>17</v>
      </c>
      <c r="B73">
        <v>450</v>
      </c>
      <c r="C73">
        <v>450</v>
      </c>
      <c r="J73" t="s">
        <v>87</v>
      </c>
      <c r="N73" s="15"/>
      <c r="O73" s="15"/>
      <c r="P73" s="15"/>
      <c r="Q73" s="15"/>
      <c r="R73" s="15"/>
      <c r="S73" s="15"/>
      <c r="T73" s="15"/>
      <c r="U73" s="5"/>
      <c r="V73" s="5"/>
    </row>
    <row r="74" spans="1:22" x14ac:dyDescent="0.3">
      <c r="A74" s="2" t="s">
        <v>20</v>
      </c>
      <c r="B74">
        <v>590</v>
      </c>
      <c r="C74">
        <v>590</v>
      </c>
      <c r="E74" t="s">
        <v>88</v>
      </c>
      <c r="N74" s="15"/>
      <c r="O74" s="15"/>
      <c r="P74" s="15"/>
      <c r="Q74" s="15"/>
      <c r="R74" s="15"/>
      <c r="S74" s="15"/>
      <c r="T74" s="15"/>
    </row>
    <row r="75" spans="1:22" x14ac:dyDescent="0.3">
      <c r="A75" s="2" t="s">
        <v>21</v>
      </c>
      <c r="B75">
        <v>620</v>
      </c>
      <c r="C75">
        <f>720*1.05</f>
        <v>756</v>
      </c>
      <c r="E75" t="s">
        <v>89</v>
      </c>
      <c r="N75" s="15"/>
      <c r="O75" s="15"/>
      <c r="P75" s="15"/>
      <c r="Q75" s="15"/>
      <c r="R75" s="15"/>
      <c r="S75" s="15"/>
      <c r="T75" s="15"/>
    </row>
    <row r="76" spans="1:22" x14ac:dyDescent="0.3">
      <c r="A76" s="2" t="s">
        <v>22</v>
      </c>
      <c r="B76">
        <v>460</v>
      </c>
      <c r="C76">
        <f>B76*1.05</f>
        <v>483</v>
      </c>
      <c r="J76" t="s">
        <v>90</v>
      </c>
      <c r="N76" s="15"/>
      <c r="O76" s="15"/>
      <c r="P76" s="15"/>
      <c r="Q76" s="15"/>
      <c r="R76" s="15"/>
      <c r="S76" s="15"/>
      <c r="T76" s="15"/>
      <c r="U76" s="5"/>
      <c r="V76" s="5"/>
    </row>
    <row r="77" spans="1:22" x14ac:dyDescent="0.3">
      <c r="A77" s="2" t="s">
        <v>25</v>
      </c>
      <c r="B77">
        <v>480</v>
      </c>
      <c r="C77">
        <f>B77*1.05</f>
        <v>504</v>
      </c>
      <c r="E77" t="s">
        <v>88</v>
      </c>
      <c r="N77" s="15"/>
      <c r="O77" s="15"/>
      <c r="P77" s="15"/>
    </row>
    <row r="78" spans="1:22" x14ac:dyDescent="0.3">
      <c r="A78" s="2" t="s">
        <v>26</v>
      </c>
      <c r="B78">
        <v>520</v>
      </c>
      <c r="C78">
        <v>520</v>
      </c>
      <c r="E78" t="s">
        <v>91</v>
      </c>
      <c r="N78" s="15"/>
      <c r="O78" s="15"/>
    </row>
    <row r="80" spans="1:22" x14ac:dyDescent="0.3">
      <c r="B80" s="16" t="s">
        <v>92</v>
      </c>
      <c r="C80" s="16"/>
      <c r="D80" s="16"/>
      <c r="E80" t="s">
        <v>6</v>
      </c>
    </row>
    <row r="81" spans="1:15" x14ac:dyDescent="0.3">
      <c r="B81" s="2"/>
      <c r="C81" s="2"/>
      <c r="D81" s="2"/>
      <c r="E81" t="s">
        <v>93</v>
      </c>
      <c r="G81" t="s">
        <v>94</v>
      </c>
      <c r="J81" t="s">
        <v>95</v>
      </c>
      <c r="L81" t="s">
        <v>96</v>
      </c>
      <c r="M81" t="s">
        <v>97</v>
      </c>
    </row>
    <row r="82" spans="1:15" x14ac:dyDescent="0.3">
      <c r="A82" t="s">
        <v>42</v>
      </c>
      <c r="B82" t="s">
        <v>98</v>
      </c>
      <c r="C82" t="s">
        <v>99</v>
      </c>
      <c r="D82" t="s">
        <v>39</v>
      </c>
      <c r="E82" t="s">
        <v>98</v>
      </c>
      <c r="F82" t="s">
        <v>99</v>
      </c>
      <c r="G82" t="s">
        <v>98</v>
      </c>
      <c r="H82" t="s">
        <v>99</v>
      </c>
      <c r="J82" t="s">
        <v>98</v>
      </c>
      <c r="K82" t="s">
        <v>99</v>
      </c>
      <c r="L82" t="s">
        <v>43</v>
      </c>
      <c r="M82" t="s">
        <v>98</v>
      </c>
      <c r="N82" t="s">
        <v>99</v>
      </c>
      <c r="O82" t="s">
        <v>39</v>
      </c>
    </row>
    <row r="83" spans="1:15" x14ac:dyDescent="0.3">
      <c r="A83" s="2" t="s">
        <v>11</v>
      </c>
      <c r="B83" s="15">
        <f>+B71*6</f>
        <v>3360</v>
      </c>
      <c r="C83" s="15">
        <f>+C71*6</f>
        <v>3360</v>
      </c>
      <c r="D83" s="15">
        <f>+B83+C83</f>
        <v>6720</v>
      </c>
      <c r="M83" s="15">
        <f>+B83*0.3</f>
        <v>1008</v>
      </c>
      <c r="N83" s="15">
        <f>+C83*0.3</f>
        <v>1008</v>
      </c>
      <c r="O83" s="5">
        <f>+M83+N83</f>
        <v>2016</v>
      </c>
    </row>
    <row r="84" spans="1:15" x14ac:dyDescent="0.3">
      <c r="A84" s="2" t="s">
        <v>13</v>
      </c>
      <c r="B84" s="15">
        <f>+B72*6</f>
        <v>4320</v>
      </c>
      <c r="C84" s="15">
        <f t="shared" ref="C84:C90" si="12">+C72*6</f>
        <v>4536</v>
      </c>
      <c r="D84" s="15">
        <f t="shared" ref="D84:D90" si="13">+B84+C84</f>
        <v>8856</v>
      </c>
      <c r="E84" s="15">
        <f>+B72/240</f>
        <v>3</v>
      </c>
      <c r="F84" s="15">
        <f>+C72/240</f>
        <v>3.15</v>
      </c>
      <c r="G84" s="15">
        <f>+E84*1.5</f>
        <v>4.5</v>
      </c>
      <c r="H84" s="15">
        <f>+F84*1.5</f>
        <v>4.7249999999999996</v>
      </c>
      <c r="J84" s="15">
        <f>+G84*60</f>
        <v>270</v>
      </c>
      <c r="K84" s="5">
        <f>+H84*35</f>
        <v>165.375</v>
      </c>
      <c r="L84" s="5">
        <f>+J84+K84</f>
        <v>435.375</v>
      </c>
    </row>
    <row r="85" spans="1:15" x14ac:dyDescent="0.3">
      <c r="A85" s="2" t="s">
        <v>17</v>
      </c>
      <c r="B85" s="15">
        <f t="shared" ref="B85:B90" si="14">+B73*6</f>
        <v>2700</v>
      </c>
      <c r="C85" s="15">
        <f t="shared" si="12"/>
        <v>2700</v>
      </c>
      <c r="D85" s="15">
        <f t="shared" si="13"/>
        <v>5400</v>
      </c>
      <c r="E85" s="15">
        <f>+B73/240</f>
        <v>1.875</v>
      </c>
      <c r="F85" s="15">
        <f>+C73/240</f>
        <v>1.875</v>
      </c>
      <c r="G85" s="15">
        <f>+E85*2</f>
        <v>3.75</v>
      </c>
      <c r="H85" s="15">
        <f>+F85*1.5</f>
        <v>2.8125</v>
      </c>
      <c r="J85" s="15">
        <f>+G85*40</f>
        <v>150</v>
      </c>
      <c r="K85" s="15">
        <f>+H85*45</f>
        <v>126.5625</v>
      </c>
      <c r="L85" s="5">
        <f>+J85+K85</f>
        <v>276.5625</v>
      </c>
    </row>
    <row r="86" spans="1:15" x14ac:dyDescent="0.3">
      <c r="A86" s="2" t="s">
        <v>20</v>
      </c>
      <c r="B86" s="15">
        <f t="shared" si="14"/>
        <v>3540</v>
      </c>
      <c r="C86" s="15">
        <f t="shared" si="12"/>
        <v>3540</v>
      </c>
      <c r="D86" s="15">
        <f t="shared" si="13"/>
        <v>7080</v>
      </c>
      <c r="E86" s="15"/>
      <c r="F86" s="15"/>
      <c r="M86" s="15">
        <f>+B86*0.1</f>
        <v>354</v>
      </c>
      <c r="N86" s="15">
        <f>+C86*0.1</f>
        <v>354</v>
      </c>
      <c r="O86" s="5">
        <f t="shared" ref="O86:O90" si="15">+M86+N86</f>
        <v>708</v>
      </c>
    </row>
    <row r="87" spans="1:15" x14ac:dyDescent="0.3">
      <c r="A87" s="2" t="s">
        <v>21</v>
      </c>
      <c r="B87" s="15">
        <f t="shared" si="14"/>
        <v>3720</v>
      </c>
      <c r="C87" s="15">
        <f t="shared" si="12"/>
        <v>4536</v>
      </c>
      <c r="D87" s="15">
        <f t="shared" si="13"/>
        <v>8256</v>
      </c>
      <c r="E87" s="15"/>
      <c r="F87" s="15"/>
      <c r="M87" s="15">
        <f>+B87*0.07</f>
        <v>260.40000000000003</v>
      </c>
      <c r="N87" s="15">
        <f>+C87*0.07</f>
        <v>317.52000000000004</v>
      </c>
      <c r="O87" s="5">
        <f t="shared" si="15"/>
        <v>577.92000000000007</v>
      </c>
    </row>
    <row r="88" spans="1:15" x14ac:dyDescent="0.3">
      <c r="A88" s="2" t="s">
        <v>22</v>
      </c>
      <c r="B88" s="15">
        <f t="shared" si="14"/>
        <v>2760</v>
      </c>
      <c r="C88" s="15">
        <f t="shared" si="12"/>
        <v>2898</v>
      </c>
      <c r="D88" s="15">
        <f t="shared" si="13"/>
        <v>5658</v>
      </c>
      <c r="E88" s="15">
        <f>+B76/240</f>
        <v>1.9166666666666667</v>
      </c>
      <c r="F88" s="15">
        <f>+C76/240</f>
        <v>2.0125000000000002</v>
      </c>
      <c r="G88" s="15">
        <f>+E88*2</f>
        <v>3.8333333333333335</v>
      </c>
      <c r="H88" s="15">
        <f>+F88*1.5</f>
        <v>3.0187500000000003</v>
      </c>
      <c r="J88" s="5">
        <f>+G88*70</f>
        <v>268.33333333333337</v>
      </c>
      <c r="K88" s="5">
        <f>+H88*55</f>
        <v>166.03125000000003</v>
      </c>
      <c r="L88" s="5">
        <f>+J88+K88</f>
        <v>434.36458333333337</v>
      </c>
    </row>
    <row r="89" spans="1:15" x14ac:dyDescent="0.3">
      <c r="A89" s="2" t="s">
        <v>25</v>
      </c>
      <c r="B89" s="15">
        <f t="shared" si="14"/>
        <v>2880</v>
      </c>
      <c r="C89" s="15">
        <f t="shared" si="12"/>
        <v>3024</v>
      </c>
      <c r="D89" s="15">
        <f t="shared" si="13"/>
        <v>5904</v>
      </c>
      <c r="M89" s="15">
        <f>+B89*0.1</f>
        <v>288</v>
      </c>
      <c r="N89" s="15">
        <f>+C89*0.1</f>
        <v>302.40000000000003</v>
      </c>
      <c r="O89" s="5">
        <f t="shared" si="15"/>
        <v>590.40000000000009</v>
      </c>
    </row>
    <row r="90" spans="1:15" x14ac:dyDescent="0.3">
      <c r="A90" s="2" t="s">
        <v>26</v>
      </c>
      <c r="B90" s="15">
        <f t="shared" si="14"/>
        <v>3120</v>
      </c>
      <c r="C90" s="15">
        <f t="shared" si="12"/>
        <v>3120</v>
      </c>
      <c r="D90" s="15">
        <f t="shared" si="13"/>
        <v>6240</v>
      </c>
      <c r="M90" s="15">
        <f>+B90*0.03</f>
        <v>93.6</v>
      </c>
      <c r="N90" s="15">
        <f>+C90*0.03</f>
        <v>93.6</v>
      </c>
      <c r="O90" s="5">
        <f t="shared" si="15"/>
        <v>187.2</v>
      </c>
    </row>
    <row r="91" spans="1:15" x14ac:dyDescent="0.3">
      <c r="A91" s="2"/>
      <c r="B91" s="15"/>
      <c r="C91" s="15"/>
      <c r="D91" s="15"/>
      <c r="M91" s="15"/>
      <c r="N91" s="15"/>
      <c r="O91" s="5"/>
    </row>
    <row r="92" spans="1:15" x14ac:dyDescent="0.3">
      <c r="B92" t="s">
        <v>92</v>
      </c>
      <c r="C92" t="s">
        <v>5</v>
      </c>
      <c r="D92" t="s">
        <v>44</v>
      </c>
      <c r="E92" t="s">
        <v>100</v>
      </c>
      <c r="F92" t="s">
        <v>101</v>
      </c>
      <c r="G92" t="s">
        <v>37</v>
      </c>
      <c r="H92" t="s">
        <v>53</v>
      </c>
      <c r="J92" t="s">
        <v>102</v>
      </c>
      <c r="K92" t="s">
        <v>39</v>
      </c>
    </row>
    <row r="93" spans="1:15" x14ac:dyDescent="0.3">
      <c r="A93" t="s">
        <v>42</v>
      </c>
      <c r="E93" t="s">
        <v>103</v>
      </c>
      <c r="F93" t="s">
        <v>46</v>
      </c>
      <c r="G93" t="s">
        <v>47</v>
      </c>
      <c r="H93" t="s">
        <v>48</v>
      </c>
      <c r="J93" t="s">
        <v>104</v>
      </c>
    </row>
    <row r="94" spans="1:15" x14ac:dyDescent="0.3">
      <c r="A94" s="2" t="s">
        <v>11</v>
      </c>
      <c r="B94" s="5">
        <f>+D83</f>
        <v>6720</v>
      </c>
      <c r="C94" s="15">
        <f>+L83</f>
        <v>0</v>
      </c>
      <c r="D94" s="5">
        <f>+O83</f>
        <v>2016</v>
      </c>
      <c r="E94" s="5">
        <f>SUM(B94:D94)</f>
        <v>8736</v>
      </c>
      <c r="F94" s="15">
        <f>+E94/12</f>
        <v>728</v>
      </c>
      <c r="G94" s="15">
        <v>470</v>
      </c>
      <c r="H94">
        <v>0</v>
      </c>
      <c r="J94" s="15">
        <f>+E94*12.15%</f>
        <v>1061.424</v>
      </c>
      <c r="K94" s="5">
        <f>SUM(E94:J94)</f>
        <v>10995.423999999999</v>
      </c>
    </row>
    <row r="95" spans="1:15" x14ac:dyDescent="0.3">
      <c r="A95" s="17" t="s">
        <v>13</v>
      </c>
      <c r="B95" s="5">
        <f t="shared" ref="B95:B101" si="16">+D84</f>
        <v>8856</v>
      </c>
      <c r="C95" s="15">
        <f t="shared" ref="C95:C101" si="17">+L84</f>
        <v>435.375</v>
      </c>
      <c r="D95" s="5">
        <f t="shared" ref="D95:D101" si="18">+O84</f>
        <v>0</v>
      </c>
      <c r="E95" s="5">
        <f t="shared" ref="E95:E101" si="19">SUM(B95:D95)</f>
        <v>9291.375</v>
      </c>
      <c r="F95" s="15">
        <f t="shared" ref="F95:F101" si="20">+E95/12</f>
        <v>774.28125</v>
      </c>
      <c r="G95" s="15">
        <v>470</v>
      </c>
      <c r="H95" s="6">
        <f>+E95*8.33%</f>
        <v>773.97153749999995</v>
      </c>
      <c r="J95" s="15">
        <f t="shared" ref="J95:J101" si="21">+E95*12.15%</f>
        <v>1128.9020625000001</v>
      </c>
      <c r="K95" s="5">
        <f t="shared" ref="K95:K101" si="22">SUM(E95:J95)</f>
        <v>12438.529849999999</v>
      </c>
    </row>
    <row r="96" spans="1:15" x14ac:dyDescent="0.3">
      <c r="A96" s="2" t="s">
        <v>17</v>
      </c>
      <c r="B96" s="5">
        <f t="shared" si="16"/>
        <v>5400</v>
      </c>
      <c r="C96" s="15">
        <f t="shared" si="17"/>
        <v>276.5625</v>
      </c>
      <c r="D96" s="5">
        <f t="shared" si="18"/>
        <v>0</v>
      </c>
      <c r="E96" s="5">
        <f t="shared" si="19"/>
        <v>5676.5625</v>
      </c>
      <c r="F96" s="15">
        <f t="shared" si="20"/>
        <v>473.046875</v>
      </c>
      <c r="G96" s="15">
        <v>470</v>
      </c>
      <c r="H96">
        <v>0</v>
      </c>
      <c r="J96" s="15">
        <f t="shared" si="21"/>
        <v>689.70234374999995</v>
      </c>
      <c r="K96" s="9">
        <f t="shared" si="22"/>
        <v>7309.3117187500002</v>
      </c>
      <c r="L96" s="8" t="s">
        <v>18</v>
      </c>
    </row>
    <row r="97" spans="1:16" x14ac:dyDescent="0.3">
      <c r="A97" s="17" t="s">
        <v>20</v>
      </c>
      <c r="B97" s="5">
        <f t="shared" si="16"/>
        <v>7080</v>
      </c>
      <c r="C97" s="15">
        <f t="shared" si="17"/>
        <v>0</v>
      </c>
      <c r="D97" s="5">
        <f t="shared" si="18"/>
        <v>708</v>
      </c>
      <c r="E97" s="5">
        <f t="shared" si="19"/>
        <v>7788</v>
      </c>
      <c r="F97" s="15">
        <f t="shared" si="20"/>
        <v>649</v>
      </c>
      <c r="G97" s="15">
        <v>470</v>
      </c>
      <c r="H97" s="6">
        <f>+E97*8.33%</f>
        <v>648.74040000000002</v>
      </c>
      <c r="J97" s="15">
        <f t="shared" si="21"/>
        <v>946.24199999999996</v>
      </c>
      <c r="K97" s="9">
        <f t="shared" si="22"/>
        <v>10501.982400000001</v>
      </c>
      <c r="L97" s="8" t="s">
        <v>18</v>
      </c>
    </row>
    <row r="98" spans="1:16" x14ac:dyDescent="0.3">
      <c r="A98" s="2" t="s">
        <v>21</v>
      </c>
      <c r="B98" s="5">
        <f t="shared" si="16"/>
        <v>8256</v>
      </c>
      <c r="C98" s="15">
        <f t="shared" si="17"/>
        <v>0</v>
      </c>
      <c r="D98" s="5">
        <f t="shared" si="18"/>
        <v>577.92000000000007</v>
      </c>
      <c r="E98" s="5">
        <f t="shared" si="19"/>
        <v>8833.92</v>
      </c>
      <c r="F98" s="15">
        <f t="shared" si="20"/>
        <v>736.16</v>
      </c>
      <c r="G98" s="15">
        <v>470</v>
      </c>
      <c r="H98">
        <v>0</v>
      </c>
      <c r="J98" s="15">
        <f t="shared" si="21"/>
        <v>1073.3212799999999</v>
      </c>
      <c r="K98" s="9">
        <f t="shared" si="22"/>
        <v>11113.40128</v>
      </c>
      <c r="L98" s="8" t="s">
        <v>18</v>
      </c>
    </row>
    <row r="99" spans="1:16" x14ac:dyDescent="0.3">
      <c r="A99" s="2" t="s">
        <v>22</v>
      </c>
      <c r="B99" s="5">
        <f t="shared" si="16"/>
        <v>5658</v>
      </c>
      <c r="C99" s="15">
        <f t="shared" si="17"/>
        <v>434.36458333333337</v>
      </c>
      <c r="D99" s="5">
        <f t="shared" si="18"/>
        <v>0</v>
      </c>
      <c r="E99" s="5">
        <f t="shared" si="19"/>
        <v>6092.364583333333</v>
      </c>
      <c r="F99" s="15">
        <f t="shared" si="20"/>
        <v>507.69704861111109</v>
      </c>
      <c r="G99" s="15">
        <v>470</v>
      </c>
      <c r="H99" s="6">
        <v>0</v>
      </c>
      <c r="J99" s="15">
        <f t="shared" si="21"/>
        <v>740.22229687499998</v>
      </c>
      <c r="K99" s="5">
        <f t="shared" si="22"/>
        <v>7810.2839288194446</v>
      </c>
    </row>
    <row r="100" spans="1:16" x14ac:dyDescent="0.3">
      <c r="A100" s="17" t="s">
        <v>25</v>
      </c>
      <c r="B100" s="5">
        <f t="shared" si="16"/>
        <v>5904</v>
      </c>
      <c r="C100" s="15">
        <f t="shared" si="17"/>
        <v>0</v>
      </c>
      <c r="D100" s="5">
        <f t="shared" si="18"/>
        <v>590.40000000000009</v>
      </c>
      <c r="E100" s="5">
        <f t="shared" si="19"/>
        <v>6494.4</v>
      </c>
      <c r="F100" s="15">
        <f t="shared" si="20"/>
        <v>541.19999999999993</v>
      </c>
      <c r="G100" s="15">
        <v>470</v>
      </c>
      <c r="H100" s="6">
        <f>+E100*8.33%</f>
        <v>540.98352</v>
      </c>
      <c r="J100" s="15">
        <f t="shared" si="21"/>
        <v>789.06959999999992</v>
      </c>
      <c r="K100" s="5">
        <f t="shared" si="22"/>
        <v>8835.653119999999</v>
      </c>
    </row>
    <row r="101" spans="1:16" x14ac:dyDescent="0.3">
      <c r="A101" s="2" t="s">
        <v>26</v>
      </c>
      <c r="B101" s="5">
        <f t="shared" si="16"/>
        <v>6240</v>
      </c>
      <c r="C101" s="15">
        <f t="shared" si="17"/>
        <v>0</v>
      </c>
      <c r="D101" s="5">
        <f t="shared" si="18"/>
        <v>187.2</v>
      </c>
      <c r="E101" s="5">
        <f t="shared" si="19"/>
        <v>6427.2</v>
      </c>
      <c r="F101" s="15">
        <f t="shared" si="20"/>
        <v>535.6</v>
      </c>
      <c r="G101" s="15">
        <v>470</v>
      </c>
      <c r="H101" s="6">
        <v>0</v>
      </c>
      <c r="J101" s="15">
        <f t="shared" si="21"/>
        <v>780.90479999999991</v>
      </c>
      <c r="K101" s="5">
        <f t="shared" si="22"/>
        <v>8213.7047999999995</v>
      </c>
    </row>
    <row r="103" spans="1:16" x14ac:dyDescent="0.3">
      <c r="A103" s="13" t="s">
        <v>105</v>
      </c>
      <c r="H103" t="s">
        <v>106</v>
      </c>
      <c r="K103" s="9">
        <f>+K96+K97+K98</f>
        <v>28924.695398750002</v>
      </c>
      <c r="O103" s="5"/>
    </row>
    <row r="104" spans="1:16" x14ac:dyDescent="0.3">
      <c r="O104" s="5"/>
    </row>
    <row r="105" spans="1:16" x14ac:dyDescent="0.3">
      <c r="A105" s="1" t="s">
        <v>107</v>
      </c>
      <c r="P105" s="5"/>
    </row>
    <row r="106" spans="1:16" x14ac:dyDescent="0.3">
      <c r="A106" t="s">
        <v>108</v>
      </c>
      <c r="P106" s="5"/>
    </row>
    <row r="107" spans="1:16" x14ac:dyDescent="0.3">
      <c r="A107" t="s">
        <v>109</v>
      </c>
      <c r="K107" s="5"/>
      <c r="P107" s="5"/>
    </row>
    <row r="108" spans="1:16" x14ac:dyDescent="0.3">
      <c r="A108" s="2" t="s">
        <v>17</v>
      </c>
      <c r="B108">
        <v>354</v>
      </c>
      <c r="C108" t="s">
        <v>110</v>
      </c>
      <c r="D108" t="s">
        <v>111</v>
      </c>
      <c r="F108">
        <f>354*7.6</f>
        <v>2690.4</v>
      </c>
      <c r="P108" s="5"/>
    </row>
    <row r="109" spans="1:16" x14ac:dyDescent="0.3">
      <c r="A109" s="2" t="s">
        <v>20</v>
      </c>
      <c r="B109">
        <v>353</v>
      </c>
      <c r="C109" t="s">
        <v>110</v>
      </c>
      <c r="D109" t="s">
        <v>112</v>
      </c>
      <c r="F109">
        <f>353*7.7</f>
        <v>2718.1</v>
      </c>
      <c r="P109" s="5"/>
    </row>
    <row r="110" spans="1:16" x14ac:dyDescent="0.3">
      <c r="A110" s="2" t="s">
        <v>21</v>
      </c>
      <c r="B110">
        <v>245</v>
      </c>
      <c r="C110" t="s">
        <v>110</v>
      </c>
      <c r="D110" t="s">
        <v>112</v>
      </c>
      <c r="F110" s="18">
        <f>245*7.7</f>
        <v>1886.5</v>
      </c>
      <c r="K110" s="19"/>
    </row>
    <row r="111" spans="1:16" x14ac:dyDescent="0.3">
      <c r="A111" s="2"/>
      <c r="F111">
        <f>SUM(F108:F110)</f>
        <v>7295</v>
      </c>
      <c r="G111" t="s">
        <v>113</v>
      </c>
    </row>
    <row r="112" spans="1:16" x14ac:dyDescent="0.3">
      <c r="K112" s="4"/>
    </row>
    <row r="113" spans="1:16" x14ac:dyDescent="0.3">
      <c r="C113" t="s">
        <v>114</v>
      </c>
      <c r="E113" s="18" t="s">
        <v>115</v>
      </c>
      <c r="F113" s="18"/>
      <c r="H113" s="20">
        <f>+K103</f>
        <v>28924.695398750002</v>
      </c>
      <c r="J113" s="19">
        <f>+H113/H114</f>
        <v>3.9650027962645651</v>
      </c>
      <c r="K113" s="4" t="s">
        <v>114</v>
      </c>
    </row>
    <row r="114" spans="1:16" x14ac:dyDescent="0.3">
      <c r="E114" t="s">
        <v>113</v>
      </c>
      <c r="H114">
        <f>+F111</f>
        <v>7295</v>
      </c>
      <c r="K114" s="4"/>
    </row>
    <row r="115" spans="1:16" x14ac:dyDescent="0.3">
      <c r="K115" s="4"/>
    </row>
    <row r="116" spans="1:16" x14ac:dyDescent="0.3">
      <c r="K116" s="4"/>
    </row>
    <row r="117" spans="1:16" x14ac:dyDescent="0.3">
      <c r="A117" s="1" t="s">
        <v>116</v>
      </c>
      <c r="O117" s="5"/>
    </row>
    <row r="118" spans="1:16" x14ac:dyDescent="0.3">
      <c r="J118" s="19"/>
      <c r="P118" s="5"/>
    </row>
    <row r="119" spans="1:16" x14ac:dyDescent="0.3">
      <c r="A119" s="2" t="s">
        <v>17</v>
      </c>
      <c r="B119" s="21">
        <v>217.5</v>
      </c>
      <c r="C119" s="21"/>
      <c r="D119" s="21" t="s">
        <v>117</v>
      </c>
      <c r="E119" s="21"/>
      <c r="J119" s="19"/>
    </row>
    <row r="120" spans="1:16" x14ac:dyDescent="0.3">
      <c r="A120" s="2" t="s">
        <v>20</v>
      </c>
      <c r="B120" s="22">
        <v>180</v>
      </c>
      <c r="C120" s="22"/>
      <c r="D120" s="22" t="s">
        <v>118</v>
      </c>
      <c r="E120" s="22"/>
    </row>
    <row r="121" spans="1:16" x14ac:dyDescent="0.3">
      <c r="A121" s="2" t="s">
        <v>21</v>
      </c>
      <c r="B121" s="23">
        <v>177.5</v>
      </c>
      <c r="C121" s="21"/>
      <c r="D121" s="21" t="s">
        <v>117</v>
      </c>
      <c r="E121" s="21"/>
    </row>
    <row r="122" spans="1:16" x14ac:dyDescent="0.3">
      <c r="B122">
        <f>SUM(B119:B121)</f>
        <v>575</v>
      </c>
      <c r="J122" s="5"/>
    </row>
    <row r="123" spans="1:16" x14ac:dyDescent="0.3">
      <c r="D123" s="13" t="s">
        <v>119</v>
      </c>
      <c r="F123" t="s">
        <v>120</v>
      </c>
    </row>
    <row r="124" spans="1:16" x14ac:dyDescent="0.3">
      <c r="F124" s="5"/>
      <c r="J124" s="5"/>
    </row>
    <row r="125" spans="1:16" x14ac:dyDescent="0.3">
      <c r="D125" t="s">
        <v>121</v>
      </c>
      <c r="F125" s="19">
        <f>+J113</f>
        <v>3.9650027962645651</v>
      </c>
      <c r="G125" t="s">
        <v>122</v>
      </c>
      <c r="H125" s="21">
        <f>+B119+B121</f>
        <v>395</v>
      </c>
      <c r="J125" t="s">
        <v>123</v>
      </c>
    </row>
    <row r="126" spans="1:16" x14ac:dyDescent="0.3">
      <c r="F126" s="19">
        <f>+F125*H125</f>
        <v>1566.1761045245032</v>
      </c>
    </row>
    <row r="127" spans="1:16" x14ac:dyDescent="0.3">
      <c r="F127" s="19"/>
    </row>
    <row r="128" spans="1:16" x14ac:dyDescent="0.3">
      <c r="D128" t="s">
        <v>124</v>
      </c>
      <c r="F128" s="19">
        <f>+J113</f>
        <v>3.9650027962645651</v>
      </c>
      <c r="G128" t="s">
        <v>125</v>
      </c>
      <c r="H128" s="22">
        <f>+B120</f>
        <v>180</v>
      </c>
      <c r="J128" t="s">
        <v>126</v>
      </c>
    </row>
    <row r="129" spans="1:6" x14ac:dyDescent="0.3">
      <c r="F129" s="19">
        <f>+F128*H128</f>
        <v>713.70050332762173</v>
      </c>
    </row>
    <row r="131" spans="1:6" x14ac:dyDescent="0.3">
      <c r="B131" t="s">
        <v>127</v>
      </c>
      <c r="D131" t="s">
        <v>119</v>
      </c>
    </row>
    <row r="133" spans="1:6" x14ac:dyDescent="0.3">
      <c r="A133" t="s">
        <v>128</v>
      </c>
      <c r="B133" s="24">
        <f>+E52</f>
        <v>2092.1066999999998</v>
      </c>
      <c r="D133" t="s">
        <v>129</v>
      </c>
      <c r="E133" s="5">
        <f>+F126</f>
        <v>1566.1761045245032</v>
      </c>
    </row>
    <row r="134" spans="1:6" x14ac:dyDescent="0.3">
      <c r="B134" s="24"/>
      <c r="D134" t="s">
        <v>130</v>
      </c>
      <c r="E134" s="5">
        <f>+F129</f>
        <v>713.70050332762173</v>
      </c>
    </row>
    <row r="135" spans="1:6" x14ac:dyDescent="0.3">
      <c r="B135" s="24"/>
    </row>
    <row r="136" spans="1:6" x14ac:dyDescent="0.3">
      <c r="A136" t="s">
        <v>131</v>
      </c>
    </row>
    <row r="137" spans="1:6" x14ac:dyDescent="0.3">
      <c r="B137" s="24">
        <f>+E59</f>
        <v>503.64196749999996</v>
      </c>
    </row>
    <row r="138" spans="1:6" x14ac:dyDescent="0.3">
      <c r="B138" s="24"/>
    </row>
    <row r="139" spans="1:6" x14ac:dyDescent="0.3">
      <c r="B139" s="24"/>
    </row>
    <row r="141" spans="1:6" x14ac:dyDescent="0.3">
      <c r="A141" t="s">
        <v>39</v>
      </c>
      <c r="B141" s="5">
        <f>SUM(B133:B140)</f>
        <v>2595.7486675</v>
      </c>
      <c r="D141" s="5"/>
      <c r="E141" s="5">
        <f>SUM(E133:E140)</f>
        <v>2279.8766078521248</v>
      </c>
    </row>
    <row r="142" spans="1:6" x14ac:dyDescent="0.3">
      <c r="C142" s="5">
        <f>+B141-E141</f>
        <v>315.87205964787518</v>
      </c>
    </row>
    <row r="143" spans="1:6" x14ac:dyDescent="0.3">
      <c r="C143" t="s">
        <v>132</v>
      </c>
    </row>
    <row r="145" spans="1:6" x14ac:dyDescent="0.3">
      <c r="A145" t="s">
        <v>134</v>
      </c>
    </row>
    <row r="146" spans="1:6" ht="15" thickBot="1" x14ac:dyDescent="0.35"/>
    <row r="147" spans="1:6" x14ac:dyDescent="0.3">
      <c r="A147" s="45" t="s">
        <v>55</v>
      </c>
      <c r="B147" s="55" t="s">
        <v>135</v>
      </c>
      <c r="C147" s="55"/>
      <c r="D147" s="55"/>
      <c r="E147" s="46" t="s">
        <v>57</v>
      </c>
      <c r="F147" s="47" t="s">
        <v>58</v>
      </c>
    </row>
    <row r="148" spans="1:6" x14ac:dyDescent="0.3">
      <c r="A148" s="48">
        <v>45930</v>
      </c>
      <c r="B148" s="26"/>
      <c r="C148" s="26" t="s">
        <v>75</v>
      </c>
      <c r="D148" s="26"/>
      <c r="E148" s="26"/>
      <c r="F148" s="51"/>
    </row>
    <row r="149" spans="1:6" x14ac:dyDescent="0.3">
      <c r="A149" s="50"/>
      <c r="B149" s="26" t="s">
        <v>76</v>
      </c>
      <c r="C149" s="26"/>
      <c r="D149" s="26"/>
      <c r="E149" s="40">
        <f>+C142</f>
        <v>315.87205964787518</v>
      </c>
      <c r="F149" s="51"/>
    </row>
    <row r="150" spans="1:6" ht="15" thickBot="1" x14ac:dyDescent="0.35">
      <c r="A150" s="52"/>
      <c r="B150" s="53"/>
      <c r="C150" s="53" t="s">
        <v>78</v>
      </c>
      <c r="D150" s="53"/>
      <c r="E150" s="53"/>
      <c r="F150" s="54">
        <f>+E149</f>
        <v>315.87205964787518</v>
      </c>
    </row>
  </sheetData>
  <mergeCells count="3">
    <mergeCell ref="F4:H4"/>
    <mergeCell ref="B80:D80"/>
    <mergeCell ref="B147:D14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7ECE28BA-B98A-430A-BF95-47A9F6C72E45}"/>
</file>

<file path=customXml/itemProps2.xml><?xml version="1.0" encoding="utf-8"?>
<ds:datastoreItem xmlns:ds="http://schemas.openxmlformats.org/officeDocument/2006/customXml" ds:itemID="{647C97A3-FE1F-41E1-BD53-9087A8B08B1C}"/>
</file>

<file path=customXml/itemProps3.xml><?xml version="1.0" encoding="utf-8"?>
<ds:datastoreItem xmlns:ds="http://schemas.openxmlformats.org/officeDocument/2006/customXml" ds:itemID="{BE0CBC9B-7B77-43AF-ADE9-6F1D4B8CE5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2026-04-13T00:22:11Z</dcterms:created>
  <dcterms:modified xsi:type="dcterms:W3CDTF">2026-04-13T00:28:18Z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