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CF098652-C691-403B-89F0-A2D9E36448A1}" xr6:coauthVersionLast="47" xr6:coauthVersionMax="47" xr10:uidLastSave="{00000000-0000-0000-0000-000000000000}"/>
  <bookViews>
    <workbookView xWindow="-108" yWindow="-108" windowWidth="23256" windowHeight="12456" xr2:uid="{9E32082B-1FFF-4FD6-99E0-7AD78C861B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1" l="1"/>
  <c r="H81" i="1"/>
  <c r="H74" i="1"/>
  <c r="H82" i="1" s="1"/>
  <c r="I53" i="1"/>
  <c r="H56" i="1" s="1"/>
  <c r="C53" i="1"/>
  <c r="J52" i="1" s="1"/>
  <c r="H52" i="1"/>
  <c r="H55" i="1" s="1"/>
  <c r="C47" i="1"/>
  <c r="C48" i="1" s="1"/>
  <c r="C46" i="1"/>
  <c r="E46" i="1" s="1"/>
  <c r="D83" i="1" s="1"/>
  <c r="K45" i="1"/>
  <c r="K44" i="1"/>
  <c r="D33" i="1"/>
  <c r="E40" i="1" s="1"/>
  <c r="D32" i="1"/>
  <c r="F39" i="1" s="1"/>
  <c r="H26" i="1"/>
  <c r="I25" i="1"/>
  <c r="I26" i="1" s="1"/>
  <c r="E25" i="1"/>
  <c r="D25" i="1"/>
  <c r="E24" i="1"/>
  <c r="K24" i="1" s="1"/>
  <c r="H19" i="1"/>
  <c r="I18" i="1"/>
  <c r="I19" i="1" s="1"/>
  <c r="E18" i="1"/>
  <c r="E17" i="1"/>
  <c r="K17" i="1" s="1"/>
  <c r="H58" i="1" l="1"/>
  <c r="J61" i="1" s="1"/>
  <c r="H62" i="1" s="1"/>
  <c r="D84" i="1" s="1"/>
  <c r="H83" i="1" s="1"/>
  <c r="H84" i="1" s="1"/>
  <c r="H86" i="1" s="1"/>
  <c r="K18" i="1"/>
  <c r="J17" i="1"/>
  <c r="K25" i="1"/>
  <c r="J24" i="1"/>
  <c r="B39" i="1"/>
  <c r="G39" i="1" s="1"/>
  <c r="E32" i="1"/>
  <c r="F32" i="1" s="1"/>
  <c r="E33" i="1"/>
  <c r="F33" i="1" s="1"/>
  <c r="D39" i="1"/>
  <c r="F40" i="1"/>
  <c r="E39" i="1"/>
  <c r="B40" i="1"/>
  <c r="J33" i="1"/>
  <c r="J35" i="1" s="1"/>
  <c r="M35" i="1" s="1"/>
  <c r="G32" i="1"/>
  <c r="G33" i="1"/>
  <c r="J38" i="1"/>
  <c r="G40" i="1" l="1"/>
  <c r="J39" i="1" s="1"/>
  <c r="K26" i="1"/>
  <c r="J26" i="1" s="1"/>
  <c r="J25" i="1"/>
  <c r="K19" i="1"/>
  <c r="J19" i="1" s="1"/>
  <c r="J18" i="1"/>
  <c r="J40" i="1"/>
  <c r="M40" i="1" s="1"/>
</calcChain>
</file>

<file path=xl/sharedStrings.xml><?xml version="1.0" encoding="utf-8"?>
<sst xmlns="http://schemas.openxmlformats.org/spreadsheetml/2006/main" count="153" uniqueCount="114">
  <si>
    <t>SISTEMA ACUMULACIÓN DE COSTOS</t>
  </si>
  <si>
    <t>EJERCICIO INTEGRADOR HOJA DE COSTOS</t>
  </si>
  <si>
    <t xml:space="preserve">La industria "Honestos S.A" presenta la siguiente información sobre los costos correspondientes al </t>
  </si>
  <si>
    <t>mes de junio del 2024:</t>
  </si>
  <si>
    <t>Se elabora durante el mes la orden de producción No. 105, donde se fabrican 900 chupetes</t>
  </si>
  <si>
    <t>Para este producto se considera material directos: el azúcar y material indirecto: los colorantes</t>
  </si>
  <si>
    <t>Intervienen en la producción un operario de fábrica que es parte de la MOD y un supervisor de</t>
  </si>
  <si>
    <t>fábrica que constituye MOI</t>
  </si>
  <si>
    <t>Se  incurrieron en dos rubros de carga fabril: Servicios básicos y Depreciación de la maquinaria</t>
  </si>
  <si>
    <t>A continuación se presentan los kardex de materias primas</t>
  </si>
  <si>
    <t>AZÚCAR</t>
  </si>
  <si>
    <t>Kilos</t>
  </si>
  <si>
    <t>Fecha</t>
  </si>
  <si>
    <t>Descripción</t>
  </si>
  <si>
    <t>Entradas</t>
  </si>
  <si>
    <t>Salidas</t>
  </si>
  <si>
    <t>Existencias</t>
  </si>
  <si>
    <t>Cantidad</t>
  </si>
  <si>
    <t>Costo Unitario</t>
  </si>
  <si>
    <t>Costo Total</t>
  </si>
  <si>
    <t>Compra</t>
  </si>
  <si>
    <t>Utilización</t>
  </si>
  <si>
    <t>COLORANTES</t>
  </si>
  <si>
    <t>Litros</t>
  </si>
  <si>
    <t>Dev. Compra</t>
  </si>
  <si>
    <t>utilización</t>
  </si>
  <si>
    <t>Los roles de pago y beneficios sociales de junio mostraban lo siguiente:</t>
  </si>
  <si>
    <t>ROL DE PAGOS</t>
  </si>
  <si>
    <t>Empleado</t>
  </si>
  <si>
    <t>Sueldo</t>
  </si>
  <si>
    <t>Horas</t>
  </si>
  <si>
    <t>Total</t>
  </si>
  <si>
    <t>Aporte IESS</t>
  </si>
  <si>
    <t>Valor a</t>
  </si>
  <si>
    <t>extras</t>
  </si>
  <si>
    <t>ingresos</t>
  </si>
  <si>
    <t>descuentos</t>
  </si>
  <si>
    <t>recibir</t>
  </si>
  <si>
    <t>Operario</t>
  </si>
  <si>
    <t>OPERARIO - COSTO MOD</t>
  </si>
  <si>
    <t>Supervisor</t>
  </si>
  <si>
    <t>rol pagos</t>
  </si>
  <si>
    <t>rol benefic</t>
  </si>
  <si>
    <t>total</t>
  </si>
  <si>
    <t>horas</t>
  </si>
  <si>
    <t>ROL DE BENEFICIOS SOCIALES</t>
  </si>
  <si>
    <t>Décimo</t>
  </si>
  <si>
    <t>Fondo</t>
  </si>
  <si>
    <t>Aporte</t>
  </si>
  <si>
    <t>Vacaciones</t>
  </si>
  <si>
    <t>SUPERVISOR- COSTO MOI</t>
  </si>
  <si>
    <t>tercero</t>
  </si>
  <si>
    <t>cuarto</t>
  </si>
  <si>
    <t>reserva</t>
  </si>
  <si>
    <t>patronal</t>
  </si>
  <si>
    <t>rol benef</t>
  </si>
  <si>
    <t>Se incurrió en costo de energía eléctrica por un total de $740 que corresponden a 1250 kw consumidos</t>
  </si>
  <si>
    <t>El área de producción utilizó 910 kw y las áreas de administración y ventas 340kw</t>
  </si>
  <si>
    <t>KW</t>
  </si>
  <si>
    <t>PRODUCCIÓN</t>
  </si>
  <si>
    <t>op 105</t>
  </si>
  <si>
    <t>ADM Y VTAS</t>
  </si>
  <si>
    <t>COSTO (Carga fabril)</t>
  </si>
  <si>
    <t>GASTO</t>
  </si>
  <si>
    <t>TOTAL</t>
  </si>
  <si>
    <t>La depreciación de la maquinaria se calculó con base a estos datos:</t>
  </si>
  <si>
    <t>Costo de maquinaria</t>
  </si>
  <si>
    <t>Depreciación=</t>
  </si>
  <si>
    <t xml:space="preserve">  -</t>
  </si>
  <si>
    <t>Valor residual</t>
  </si>
  <si>
    <t>Unidades de producción totales</t>
  </si>
  <si>
    <t>unidades</t>
  </si>
  <si>
    <t>DATOS ESPECÍFICOS PARA LA ORDEN DE PRODUCCIÓN NO. 105</t>
  </si>
  <si>
    <t>Se utilizaron materiales de la siguiente manera:</t>
  </si>
  <si>
    <t>Azúcar</t>
  </si>
  <si>
    <t>kg</t>
  </si>
  <si>
    <t>Colorantes</t>
  </si>
  <si>
    <t>litros</t>
  </si>
  <si>
    <t>El trabajo para la orden de los empleados en horas fue:</t>
  </si>
  <si>
    <t>depreciación OP 105</t>
  </si>
  <si>
    <t>UNID</t>
  </si>
  <si>
    <t>Para esta orden se asignó un 15% del costo de energía eléctrica</t>
  </si>
  <si>
    <t>Para el mes de junio las unidades producidas por la maquinaria son 900 chupetes</t>
  </si>
  <si>
    <t>SE PIDE</t>
  </si>
  <si>
    <t>Distribución del costo de energía eléctrica y cálculo de la depreciación de maquinaria</t>
  </si>
  <si>
    <t>Elaborar la hoja de costos de la orden No. 105, obtener costo total y costo unitario</t>
  </si>
  <si>
    <t xml:space="preserve">EMPRESA </t>
  </si>
  <si>
    <t xml:space="preserve">HOJA DE COSTOS </t>
  </si>
  <si>
    <t>Fabrica</t>
  </si>
  <si>
    <t>chupetes</t>
  </si>
  <si>
    <t>ORDEN DE PRODUCCIÓN NO. 105</t>
  </si>
  <si>
    <t>MPD</t>
  </si>
  <si>
    <t>MOD</t>
  </si>
  <si>
    <t>fecha</t>
  </si>
  <si>
    <t>cantidad</t>
  </si>
  <si>
    <t>Costo unitario</t>
  </si>
  <si>
    <t>Costo total</t>
  </si>
  <si>
    <t xml:space="preserve">detalle </t>
  </si>
  <si>
    <t>Costo hora</t>
  </si>
  <si>
    <t>obrero</t>
  </si>
  <si>
    <t>CIF</t>
  </si>
  <si>
    <t>RESUMEN</t>
  </si>
  <si>
    <t xml:space="preserve">cantidad </t>
  </si>
  <si>
    <t xml:space="preserve">Costo Total </t>
  </si>
  <si>
    <t>utilización MPI</t>
  </si>
  <si>
    <t xml:space="preserve">MATERIA PRIMA DIRECTA </t>
  </si>
  <si>
    <t>supervisor MOI</t>
  </si>
  <si>
    <t xml:space="preserve">MANO DE OBRA DIRECTA </t>
  </si>
  <si>
    <t>energía eléctrica</t>
  </si>
  <si>
    <t>COSTOS INDIRECTOS DE FABRICACION (CIF)</t>
  </si>
  <si>
    <t>depreciación maquinaria</t>
  </si>
  <si>
    <t xml:space="preserve">COSTO TOTAL DE PRODUCCION </t>
  </si>
  <si>
    <t xml:space="preserve">UNIDADES PRODUCIDAS </t>
  </si>
  <si>
    <t>COSTO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</si>
</sst>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44" fontId="0" fillId="0" borderId="1" xfId="2" applyFont="1" applyBorder="1"/>
    <xf numFmtId="43" fontId="0" fillId="0" borderId="1" xfId="1" applyFont="1" applyBorder="1"/>
    <xf numFmtId="4" fontId="0" fillId="2" borderId="0" xfId="0" applyNumberFormat="1" applyFill="1"/>
    <xf numFmtId="44" fontId="0" fillId="2" borderId="0" xfId="2" applyFont="1" applyFill="1"/>
    <xf numFmtId="0" fontId="0" fillId="3" borderId="1" xfId="0" applyFill="1" applyBorder="1"/>
    <xf numFmtId="43" fontId="0" fillId="3" borderId="1" xfId="1" applyFont="1" applyFill="1" applyBorder="1"/>
    <xf numFmtId="0" fontId="3" fillId="0" borderId="0" xfId="0" applyFont="1"/>
    <xf numFmtId="4" fontId="0" fillId="0" borderId="0" xfId="0" applyNumberFormat="1"/>
    <xf numFmtId="0" fontId="0" fillId="0" borderId="5" xfId="0" applyBorder="1"/>
    <xf numFmtId="4" fontId="0" fillId="0" borderId="5" xfId="0" applyNumberFormat="1" applyBorder="1"/>
    <xf numFmtId="0" fontId="0" fillId="0" borderId="3" xfId="0" applyBorder="1"/>
    <xf numFmtId="4" fontId="0" fillId="0" borderId="3" xfId="0" applyNumberFormat="1" applyBorder="1"/>
    <xf numFmtId="44" fontId="0" fillId="0" borderId="0" xfId="2" applyFont="1"/>
    <xf numFmtId="10" fontId="0" fillId="0" borderId="0" xfId="3" applyNumberFormat="1" applyFont="1"/>
    <xf numFmtId="164" fontId="0" fillId="0" borderId="0" xfId="3" applyNumberFormat="1" applyFont="1"/>
    <xf numFmtId="44" fontId="0" fillId="0" borderId="5" xfId="2" applyFont="1" applyBorder="1"/>
    <xf numFmtId="44" fontId="0" fillId="0" borderId="0" xfId="0" applyNumberFormat="1"/>
    <xf numFmtId="44" fontId="0" fillId="0" borderId="5" xfId="0" applyNumberFormat="1" applyBorder="1"/>
    <xf numFmtId="3" fontId="0" fillId="0" borderId="5" xfId="0" applyNumberFormat="1" applyBorder="1"/>
    <xf numFmtId="3" fontId="0" fillId="0" borderId="0" xfId="0" applyNumberFormat="1"/>
    <xf numFmtId="44" fontId="0" fillId="0" borderId="0" xfId="2" applyFont="1" applyBorder="1"/>
    <xf numFmtId="0" fontId="2" fillId="4" borderId="0" xfId="0" applyFont="1" applyFill="1"/>
    <xf numFmtId="0" fontId="0" fillId="4" borderId="0" xfId="0" applyFill="1"/>
    <xf numFmtId="0" fontId="0" fillId="4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4" xfId="0" applyFont="1" applyFill="1" applyBorder="1"/>
    <xf numFmtId="0" fontId="4" fillId="5" borderId="2" xfId="0" applyFont="1" applyFill="1" applyBorder="1"/>
    <xf numFmtId="0" fontId="4" fillId="5" borderId="1" xfId="0" applyFont="1" applyFill="1" applyBorder="1"/>
    <xf numFmtId="0" fontId="4" fillId="5" borderId="4" xfId="0" applyFont="1" applyFill="1" applyBorder="1"/>
    <xf numFmtId="14" fontId="0" fillId="2" borderId="6" xfId="0" applyNumberFormat="1" applyFill="1" applyBorder="1"/>
    <xf numFmtId="0" fontId="0" fillId="2" borderId="6" xfId="0" applyFill="1" applyBorder="1"/>
    <xf numFmtId="44" fontId="0" fillId="2" borderId="7" xfId="0" applyNumberFormat="1" applyFill="1" applyBorder="1"/>
    <xf numFmtId="0" fontId="0" fillId="5" borderId="6" xfId="0" applyFill="1" applyBorder="1"/>
    <xf numFmtId="44" fontId="0" fillId="5" borderId="7" xfId="2" applyFont="1" applyFill="1" applyBorder="1"/>
    <xf numFmtId="44" fontId="0" fillId="5" borderId="8" xfId="2" applyFont="1" applyFill="1" applyBorder="1"/>
    <xf numFmtId="0" fontId="0" fillId="2" borderId="7" xfId="0" applyFill="1" applyBorder="1"/>
    <xf numFmtId="2" fontId="0" fillId="5" borderId="7" xfId="0" applyNumberFormat="1" applyFill="1" applyBorder="1"/>
    <xf numFmtId="4" fontId="0" fillId="5" borderId="8" xfId="0" applyNumberFormat="1" applyFill="1" applyBorder="1"/>
    <xf numFmtId="0" fontId="0" fillId="5" borderId="7" xfId="0" applyFill="1" applyBorder="1"/>
    <xf numFmtId="0" fontId="0" fillId="2" borderId="8" xfId="0" applyFill="1" applyBorder="1"/>
    <xf numFmtId="0" fontId="0" fillId="5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3" borderId="2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0" fillId="4" borderId="6" xfId="0" applyFill="1" applyBorder="1"/>
    <xf numFmtId="0" fontId="0" fillId="4" borderId="8" xfId="0" applyFill="1" applyBorder="1"/>
    <xf numFmtId="0" fontId="0" fillId="3" borderId="6" xfId="0" applyFill="1" applyBorder="1"/>
    <xf numFmtId="0" fontId="0" fillId="3" borderId="7" xfId="0" applyFill="1" applyBorder="1"/>
    <xf numFmtId="44" fontId="0" fillId="3" borderId="7" xfId="0" applyNumberFormat="1" applyFill="1" applyBorder="1"/>
    <xf numFmtId="44" fontId="0" fillId="3" borderId="0" xfId="0" applyNumberFormat="1" applyFill="1"/>
    <xf numFmtId="44" fontId="0" fillId="4" borderId="1" xfId="2" applyFont="1" applyFill="1" applyBorder="1"/>
    <xf numFmtId="44" fontId="0" fillId="3" borderId="7" xfId="2" applyFont="1" applyFill="1" applyBorder="1"/>
    <xf numFmtId="44" fontId="0" fillId="3" borderId="0" xfId="2" applyFont="1" applyFill="1"/>
    <xf numFmtId="0" fontId="2" fillId="4" borderId="6" xfId="0" applyFont="1" applyFill="1" applyBorder="1"/>
    <xf numFmtId="0" fontId="0" fillId="3" borderId="0" xfId="0" applyFill="1"/>
    <xf numFmtId="0" fontId="0" fillId="3" borderId="9" xfId="0" applyFill="1" applyBorder="1"/>
    <xf numFmtId="0" fontId="0" fillId="3" borderId="10" xfId="0" applyFill="1" applyBorder="1"/>
    <xf numFmtId="0" fontId="0" fillId="3" borderId="5" xfId="0" applyFill="1" applyBorder="1"/>
    <xf numFmtId="0" fontId="2" fillId="4" borderId="9" xfId="0" applyFont="1" applyFill="1" applyBorder="1"/>
    <xf numFmtId="0" fontId="0" fillId="4" borderId="5" xfId="0" applyFill="1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9BFA2-F26E-40A9-A8FB-ED79CBE5E273}">
  <dimension ref="A1:N86"/>
  <sheetViews>
    <sheetView tabSelected="1" workbookViewId="0">
      <selection activeCell="A2" sqref="A2"/>
    </sheetView>
  </sheetViews>
  <sheetFormatPr baseColWidth="10" defaultRowHeight="14.4" x14ac:dyDescent="0.3"/>
  <sheetData>
    <row r="1" spans="1:11" x14ac:dyDescent="0.3">
      <c r="A1" s="1" t="s">
        <v>0</v>
      </c>
    </row>
    <row r="2" spans="1:11" x14ac:dyDescent="0.3">
      <c r="A2" s="1" t="s">
        <v>1</v>
      </c>
    </row>
    <row r="4" spans="1:11" x14ac:dyDescent="0.3">
      <c r="A4" t="s">
        <v>2</v>
      </c>
    </row>
    <row r="5" spans="1:11" x14ac:dyDescent="0.3">
      <c r="A5" t="s">
        <v>3</v>
      </c>
    </row>
    <row r="7" spans="1:11" x14ac:dyDescent="0.3">
      <c r="A7" t="s">
        <v>4</v>
      </c>
    </row>
    <row r="8" spans="1:11" x14ac:dyDescent="0.3">
      <c r="A8" t="s">
        <v>5</v>
      </c>
    </row>
    <row r="9" spans="1:11" x14ac:dyDescent="0.3">
      <c r="A9" t="s">
        <v>6</v>
      </c>
    </row>
    <row r="10" spans="1:11" x14ac:dyDescent="0.3">
      <c r="A10" t="s">
        <v>7</v>
      </c>
    </row>
    <row r="11" spans="1:11" x14ac:dyDescent="0.3">
      <c r="A11" t="s">
        <v>8</v>
      </c>
    </row>
    <row r="13" spans="1:11" x14ac:dyDescent="0.3">
      <c r="A13" t="s">
        <v>9</v>
      </c>
    </row>
    <row r="14" spans="1:11" x14ac:dyDescent="0.3">
      <c r="A14" t="s">
        <v>10</v>
      </c>
      <c r="B14" t="s">
        <v>11</v>
      </c>
    </row>
    <row r="15" spans="1:11" x14ac:dyDescent="0.3">
      <c r="A15" s="2" t="s">
        <v>12</v>
      </c>
      <c r="B15" s="2" t="s">
        <v>13</v>
      </c>
      <c r="C15" s="3" t="s">
        <v>14</v>
      </c>
      <c r="D15" s="3"/>
      <c r="E15" s="3"/>
      <c r="F15" s="4" t="s">
        <v>15</v>
      </c>
      <c r="G15" s="5"/>
      <c r="H15" s="6"/>
      <c r="I15" s="3" t="s">
        <v>16</v>
      </c>
      <c r="J15" s="3"/>
      <c r="K15" s="3"/>
    </row>
    <row r="16" spans="1:11" x14ac:dyDescent="0.3">
      <c r="A16" s="2"/>
      <c r="B16" s="2"/>
      <c r="C16" s="7" t="s">
        <v>17</v>
      </c>
      <c r="D16" s="7" t="s">
        <v>18</v>
      </c>
      <c r="E16" s="7" t="s">
        <v>19</v>
      </c>
      <c r="F16" s="7" t="s">
        <v>17</v>
      </c>
      <c r="G16" s="7" t="s">
        <v>18</v>
      </c>
      <c r="H16" s="7" t="s">
        <v>19</v>
      </c>
      <c r="I16" s="7" t="s">
        <v>17</v>
      </c>
      <c r="J16" s="7" t="s">
        <v>18</v>
      </c>
      <c r="K16" s="7" t="s">
        <v>19</v>
      </c>
    </row>
    <row r="17" spans="1:14" x14ac:dyDescent="0.3">
      <c r="A17" s="8">
        <v>45448</v>
      </c>
      <c r="B17" s="7" t="s">
        <v>20</v>
      </c>
      <c r="C17" s="7">
        <v>160</v>
      </c>
      <c r="D17" s="9">
        <v>1.1000000000000001</v>
      </c>
      <c r="E17" s="9">
        <f>+C17*D17</f>
        <v>176</v>
      </c>
      <c r="F17" s="7"/>
      <c r="G17" s="7"/>
      <c r="H17" s="10"/>
      <c r="I17" s="7">
        <v>160</v>
      </c>
      <c r="J17" s="9">
        <f>+K17/I17</f>
        <v>1.1000000000000001</v>
      </c>
      <c r="K17" s="9">
        <f>+E17</f>
        <v>176</v>
      </c>
    </row>
    <row r="18" spans="1:14" x14ac:dyDescent="0.3">
      <c r="A18" s="8">
        <v>45455</v>
      </c>
      <c r="B18" s="7" t="s">
        <v>20</v>
      </c>
      <c r="C18" s="7">
        <v>150</v>
      </c>
      <c r="D18" s="9">
        <v>1.2</v>
      </c>
      <c r="E18" s="9">
        <f>+C18*D18</f>
        <v>180</v>
      </c>
      <c r="F18" s="7"/>
      <c r="G18" s="7"/>
      <c r="H18" s="10"/>
      <c r="I18" s="7">
        <f>+I17+C18</f>
        <v>310</v>
      </c>
      <c r="J18" s="9">
        <f>+K18/I18</f>
        <v>1.1483870967741936</v>
      </c>
      <c r="K18" s="9">
        <f>+K17+E18</f>
        <v>356</v>
      </c>
    </row>
    <row r="19" spans="1:14" x14ac:dyDescent="0.3">
      <c r="A19" s="8">
        <v>45473</v>
      </c>
      <c r="B19" s="7" t="s">
        <v>21</v>
      </c>
      <c r="C19" s="7"/>
      <c r="D19" s="9"/>
      <c r="E19" s="9"/>
      <c r="F19" s="11">
        <v>240</v>
      </c>
      <c r="G19" s="12">
        <v>1.1499999999999999</v>
      </c>
      <c r="H19" s="12">
        <f>+F19*G19</f>
        <v>276</v>
      </c>
      <c r="I19" s="7">
        <f>+I18-F19</f>
        <v>70</v>
      </c>
      <c r="J19" s="9">
        <f>+K19/I19</f>
        <v>1.1428571428571428</v>
      </c>
      <c r="K19" s="9">
        <f>+K18-H19</f>
        <v>80</v>
      </c>
    </row>
    <row r="21" spans="1:14" x14ac:dyDescent="0.3">
      <c r="A21" t="s">
        <v>22</v>
      </c>
      <c r="C21" t="s">
        <v>23</v>
      </c>
    </row>
    <row r="22" spans="1:14" x14ac:dyDescent="0.3">
      <c r="A22" s="2" t="s">
        <v>12</v>
      </c>
      <c r="B22" s="2" t="s">
        <v>13</v>
      </c>
      <c r="C22" s="3" t="s">
        <v>14</v>
      </c>
      <c r="D22" s="3"/>
      <c r="E22" s="3"/>
      <c r="F22" s="4" t="s">
        <v>15</v>
      </c>
      <c r="G22" s="5"/>
      <c r="H22" s="6"/>
      <c r="I22" s="3" t="s">
        <v>16</v>
      </c>
      <c r="J22" s="3"/>
      <c r="K22" s="3"/>
    </row>
    <row r="23" spans="1:14" x14ac:dyDescent="0.3">
      <c r="A23" s="2"/>
      <c r="B23" s="2"/>
      <c r="C23" s="7" t="s">
        <v>17</v>
      </c>
      <c r="D23" s="7" t="s">
        <v>18</v>
      </c>
      <c r="E23" s="7" t="s">
        <v>19</v>
      </c>
      <c r="F23" s="7" t="s">
        <v>17</v>
      </c>
      <c r="G23" s="7" t="s">
        <v>18</v>
      </c>
      <c r="H23" s="7" t="s">
        <v>19</v>
      </c>
      <c r="I23" s="7" t="s">
        <v>17</v>
      </c>
      <c r="J23" s="7" t="s">
        <v>18</v>
      </c>
      <c r="K23" s="7" t="s">
        <v>19</v>
      </c>
    </row>
    <row r="24" spans="1:14" x14ac:dyDescent="0.3">
      <c r="A24" s="8">
        <v>45450</v>
      </c>
      <c r="B24" s="7" t="s">
        <v>20</v>
      </c>
      <c r="C24" s="7">
        <v>500</v>
      </c>
      <c r="D24" s="9">
        <v>2.4500000000000002</v>
      </c>
      <c r="E24" s="9">
        <f>+C24*D24</f>
        <v>1225</v>
      </c>
      <c r="F24" s="7"/>
      <c r="G24" s="7"/>
      <c r="H24" s="10"/>
      <c r="I24" s="7">
        <v>500</v>
      </c>
      <c r="J24" s="9">
        <f>+K24/I24</f>
        <v>2.4500000000000002</v>
      </c>
      <c r="K24" s="9">
        <f>+E24</f>
        <v>1225</v>
      </c>
    </row>
    <row r="25" spans="1:14" x14ac:dyDescent="0.3">
      <c r="A25" s="8">
        <v>45451</v>
      </c>
      <c r="B25" s="7" t="s">
        <v>24</v>
      </c>
      <c r="C25" s="7">
        <v>-25</v>
      </c>
      <c r="D25" s="9">
        <f>+D24</f>
        <v>2.4500000000000002</v>
      </c>
      <c r="E25" s="9">
        <f>+C25*D25</f>
        <v>-61.250000000000007</v>
      </c>
      <c r="F25" s="7"/>
      <c r="G25" s="7"/>
      <c r="H25" s="10"/>
      <c r="I25" s="7">
        <f>+I24+C25</f>
        <v>475</v>
      </c>
      <c r="J25" s="9">
        <f>+K25/I25</f>
        <v>2.4500000000000002</v>
      </c>
      <c r="K25" s="9">
        <f>+K24+E25</f>
        <v>1163.75</v>
      </c>
    </row>
    <row r="26" spans="1:14" x14ac:dyDescent="0.3">
      <c r="A26" s="8">
        <v>45473</v>
      </c>
      <c r="B26" s="7" t="s">
        <v>25</v>
      </c>
      <c r="C26" s="7"/>
      <c r="D26" s="9"/>
      <c r="E26" s="9"/>
      <c r="F26" s="13">
        <v>175</v>
      </c>
      <c r="G26" s="13">
        <v>2.4500000000000002</v>
      </c>
      <c r="H26" s="14">
        <f>+F26*G26</f>
        <v>428.75000000000006</v>
      </c>
      <c r="I26" s="7">
        <f>+I25-F26</f>
        <v>300</v>
      </c>
      <c r="J26" s="9">
        <f>+K26/I26</f>
        <v>2.4500000000000002</v>
      </c>
      <c r="K26" s="9">
        <f>+K25-H26</f>
        <v>735</v>
      </c>
    </row>
    <row r="28" spans="1:14" x14ac:dyDescent="0.3">
      <c r="A28" t="s">
        <v>26</v>
      </c>
    </row>
    <row r="29" spans="1:14" x14ac:dyDescent="0.3">
      <c r="A29" s="15" t="s">
        <v>27</v>
      </c>
    </row>
    <row r="30" spans="1:14" x14ac:dyDescent="0.3">
      <c r="A30" t="s">
        <v>28</v>
      </c>
      <c r="B30" t="s">
        <v>29</v>
      </c>
      <c r="C30" t="s">
        <v>30</v>
      </c>
      <c r="D30" t="s">
        <v>31</v>
      </c>
      <c r="E30" t="s">
        <v>32</v>
      </c>
      <c r="F30" t="s">
        <v>31</v>
      </c>
      <c r="G30" t="s">
        <v>33</v>
      </c>
    </row>
    <row r="31" spans="1:14" x14ac:dyDescent="0.3">
      <c r="C31" t="s">
        <v>34</v>
      </c>
      <c r="D31" t="s">
        <v>35</v>
      </c>
      <c r="F31" t="s">
        <v>36</v>
      </c>
      <c r="G31" t="s">
        <v>37</v>
      </c>
      <c r="K31" s="16"/>
      <c r="N31" s="16"/>
    </row>
    <row r="32" spans="1:14" x14ac:dyDescent="0.3">
      <c r="A32" s="17" t="s">
        <v>38</v>
      </c>
      <c r="B32" s="18">
        <v>580</v>
      </c>
      <c r="C32" s="18">
        <v>145</v>
      </c>
      <c r="D32" s="18">
        <f>+B32+C32</f>
        <v>725</v>
      </c>
      <c r="E32" s="18">
        <f>+D32*9.45%</f>
        <v>68.512499999999989</v>
      </c>
      <c r="F32" s="18">
        <f>+E32</f>
        <v>68.512499999999989</v>
      </c>
      <c r="G32" s="18">
        <f>+D32-F32</f>
        <v>656.48749999999995</v>
      </c>
      <c r="I32" t="s">
        <v>39</v>
      </c>
      <c r="K32" s="16"/>
      <c r="N32" s="16"/>
    </row>
    <row r="33" spans="1:14" x14ac:dyDescent="0.3">
      <c r="A33" s="19" t="s">
        <v>40</v>
      </c>
      <c r="B33" s="20">
        <v>612</v>
      </c>
      <c r="C33" s="20">
        <v>85</v>
      </c>
      <c r="D33" s="18">
        <f>+B33+C33</f>
        <v>697</v>
      </c>
      <c r="E33" s="18">
        <f>+D33*9.45%</f>
        <v>65.866499999999988</v>
      </c>
      <c r="F33" s="20">
        <f>+E33</f>
        <v>65.866499999999988</v>
      </c>
      <c r="G33" s="18">
        <f>+D33-F33</f>
        <v>631.13350000000003</v>
      </c>
      <c r="I33" t="s">
        <v>41</v>
      </c>
      <c r="J33" s="16">
        <f>+D32</f>
        <v>725</v>
      </c>
      <c r="K33" s="16"/>
      <c r="N33" s="16"/>
    </row>
    <row r="34" spans="1:14" x14ac:dyDescent="0.3">
      <c r="A34" s="19"/>
      <c r="B34" s="19"/>
      <c r="C34" s="19"/>
      <c r="D34" s="19"/>
      <c r="E34" s="19"/>
      <c r="F34" s="19"/>
      <c r="G34" s="19"/>
      <c r="I34" t="s">
        <v>42</v>
      </c>
      <c r="J34" s="17">
        <v>278.27</v>
      </c>
      <c r="K34" s="16"/>
      <c r="N34" s="16"/>
    </row>
    <row r="35" spans="1:14" x14ac:dyDescent="0.3">
      <c r="I35" t="s">
        <v>43</v>
      </c>
      <c r="J35" s="16">
        <f>+J33+J34</f>
        <v>1003.27</v>
      </c>
      <c r="K35">
        <v>240</v>
      </c>
      <c r="L35" t="s">
        <v>44</v>
      </c>
      <c r="M35" s="21">
        <f>+J35/K35</f>
        <v>4.1802916666666663</v>
      </c>
    </row>
    <row r="36" spans="1:14" x14ac:dyDescent="0.3">
      <c r="A36" s="15" t="s">
        <v>45</v>
      </c>
      <c r="K36" s="21"/>
      <c r="N36" s="21"/>
    </row>
    <row r="37" spans="1:14" x14ac:dyDescent="0.3">
      <c r="A37" t="s">
        <v>28</v>
      </c>
      <c r="B37" t="s">
        <v>46</v>
      </c>
      <c r="C37" t="s">
        <v>46</v>
      </c>
      <c r="D37" t="s">
        <v>47</v>
      </c>
      <c r="E37" t="s">
        <v>48</v>
      </c>
      <c r="F37" t="s">
        <v>49</v>
      </c>
      <c r="G37" t="s">
        <v>31</v>
      </c>
      <c r="I37" t="s">
        <v>50</v>
      </c>
    </row>
    <row r="38" spans="1:14" x14ac:dyDescent="0.3">
      <c r="B38" t="s">
        <v>51</v>
      </c>
      <c r="C38" t="s">
        <v>52</v>
      </c>
      <c r="D38" t="s">
        <v>53</v>
      </c>
      <c r="E38" t="s">
        <v>54</v>
      </c>
      <c r="I38" t="s">
        <v>41</v>
      </c>
      <c r="J38" s="16">
        <f>+D33</f>
        <v>697</v>
      </c>
    </row>
    <row r="39" spans="1:14" x14ac:dyDescent="0.3">
      <c r="A39" s="17" t="s">
        <v>38</v>
      </c>
      <c r="B39" s="18">
        <f>+D32/12</f>
        <v>60.416666666666664</v>
      </c>
      <c r="C39" s="18">
        <v>39.166666666666664</v>
      </c>
      <c r="D39" s="18">
        <f>+D32*8.33%</f>
        <v>60.392499999999998</v>
      </c>
      <c r="E39" s="18">
        <f>+D32*12.15%</f>
        <v>88.087499999999991</v>
      </c>
      <c r="F39" s="18">
        <f>+D32/24</f>
        <v>30.208333333333332</v>
      </c>
      <c r="G39" s="18">
        <f>SUM(B39:F39)</f>
        <v>278.27166666666665</v>
      </c>
      <c r="I39" t="s">
        <v>55</v>
      </c>
      <c r="J39" s="18">
        <f>+G40</f>
        <v>210.97716666666665</v>
      </c>
    </row>
    <row r="40" spans="1:14" x14ac:dyDescent="0.3">
      <c r="A40" s="19" t="s">
        <v>40</v>
      </c>
      <c r="B40" s="20">
        <f>+D33/12</f>
        <v>58.083333333333336</v>
      </c>
      <c r="C40" s="18">
        <v>39.166666666666664</v>
      </c>
      <c r="D40" s="20">
        <v>0</v>
      </c>
      <c r="E40" s="18">
        <f>+D33*12.15%</f>
        <v>84.685500000000005</v>
      </c>
      <c r="F40" s="20">
        <f>+D33/24</f>
        <v>29.041666666666668</v>
      </c>
      <c r="G40" s="18">
        <f>SUM(B40:F40)</f>
        <v>210.97716666666665</v>
      </c>
      <c r="I40" t="s">
        <v>43</v>
      </c>
      <c r="J40" s="16">
        <f>SUM(J38:J39)</f>
        <v>907.97716666666668</v>
      </c>
      <c r="K40">
        <v>240</v>
      </c>
      <c r="L40" t="s">
        <v>44</v>
      </c>
      <c r="M40" s="21">
        <f>+J40/K40</f>
        <v>3.7832381944444444</v>
      </c>
    </row>
    <row r="41" spans="1:14" x14ac:dyDescent="0.3">
      <c r="A41" s="19"/>
      <c r="B41" s="19"/>
      <c r="C41" s="19"/>
      <c r="D41" s="19"/>
      <c r="E41" s="19"/>
      <c r="F41" s="19"/>
      <c r="G41" s="19"/>
    </row>
    <row r="43" spans="1:14" x14ac:dyDescent="0.3">
      <c r="A43" t="s">
        <v>56</v>
      </c>
      <c r="K43" s="22"/>
    </row>
    <row r="44" spans="1:14" x14ac:dyDescent="0.3">
      <c r="A44" t="s">
        <v>57</v>
      </c>
      <c r="G44">
        <v>1250</v>
      </c>
      <c r="H44" t="s">
        <v>58</v>
      </c>
      <c r="I44">
        <v>910</v>
      </c>
      <c r="J44" t="s">
        <v>59</v>
      </c>
      <c r="K44" s="23">
        <f>+I44/G44</f>
        <v>0.72799999999999998</v>
      </c>
    </row>
    <row r="45" spans="1:14" x14ac:dyDescent="0.3">
      <c r="E45" t="s">
        <v>60</v>
      </c>
      <c r="I45">
        <v>340</v>
      </c>
      <c r="J45" t="s">
        <v>61</v>
      </c>
      <c r="K45" s="23">
        <f>+I45/G44</f>
        <v>0.27200000000000002</v>
      </c>
    </row>
    <row r="46" spans="1:14" x14ac:dyDescent="0.3">
      <c r="A46" t="s">
        <v>62</v>
      </c>
      <c r="C46" s="21">
        <f>740*72.8%</f>
        <v>538.72</v>
      </c>
      <c r="E46" s="21">
        <f>+C46*0.15</f>
        <v>80.808000000000007</v>
      </c>
      <c r="K46" s="22"/>
    </row>
    <row r="47" spans="1:14" x14ac:dyDescent="0.3">
      <c r="A47" t="s">
        <v>63</v>
      </c>
      <c r="C47" s="24">
        <f>740*27.2%</f>
        <v>201.28</v>
      </c>
    </row>
    <row r="48" spans="1:14" x14ac:dyDescent="0.3">
      <c r="A48" t="s">
        <v>64</v>
      </c>
      <c r="C48" s="25">
        <f>+C46+C47</f>
        <v>740</v>
      </c>
    </row>
    <row r="51" spans="1:10" x14ac:dyDescent="0.3">
      <c r="A51" t="s">
        <v>65</v>
      </c>
      <c r="I51" s="25"/>
    </row>
    <row r="52" spans="1:10" x14ac:dyDescent="0.3">
      <c r="A52" t="s">
        <v>66</v>
      </c>
      <c r="C52" s="21">
        <v>98700</v>
      </c>
      <c r="F52" t="s">
        <v>67</v>
      </c>
      <c r="H52" s="26">
        <f>+C52</f>
        <v>98700</v>
      </c>
      <c r="I52" s="27" t="s">
        <v>68</v>
      </c>
      <c r="J52" s="26">
        <f>+C53</f>
        <v>10200</v>
      </c>
    </row>
    <row r="53" spans="1:10" x14ac:dyDescent="0.3">
      <c r="A53" t="s">
        <v>69</v>
      </c>
      <c r="C53" s="21">
        <f>11800-1600</f>
        <v>10200</v>
      </c>
      <c r="I53" s="28">
        <f>+D54</f>
        <v>118000</v>
      </c>
    </row>
    <row r="54" spans="1:10" x14ac:dyDescent="0.3">
      <c r="A54" t="s">
        <v>70</v>
      </c>
      <c r="D54" s="28">
        <v>118000</v>
      </c>
      <c r="E54" t="s">
        <v>71</v>
      </c>
    </row>
    <row r="55" spans="1:10" x14ac:dyDescent="0.3">
      <c r="H55" s="26">
        <f>+H52-J52</f>
        <v>88500</v>
      </c>
      <c r="J55" s="29"/>
    </row>
    <row r="56" spans="1:10" x14ac:dyDescent="0.3">
      <c r="A56" s="1" t="s">
        <v>72</v>
      </c>
      <c r="H56" s="28">
        <f>+I53</f>
        <v>118000</v>
      </c>
    </row>
    <row r="57" spans="1:10" x14ac:dyDescent="0.3">
      <c r="A57" t="s">
        <v>73</v>
      </c>
    </row>
    <row r="58" spans="1:10" x14ac:dyDescent="0.3">
      <c r="A58" t="s">
        <v>74</v>
      </c>
      <c r="B58">
        <v>240</v>
      </c>
      <c r="C58" t="s">
        <v>75</v>
      </c>
      <c r="H58">
        <f>+H55/H56</f>
        <v>0.75</v>
      </c>
    </row>
    <row r="59" spans="1:10" x14ac:dyDescent="0.3">
      <c r="A59" t="s">
        <v>76</v>
      </c>
      <c r="B59">
        <v>175</v>
      </c>
      <c r="C59" t="s">
        <v>77</v>
      </c>
    </row>
    <row r="60" spans="1:10" x14ac:dyDescent="0.3">
      <c r="A60" t="s">
        <v>78</v>
      </c>
      <c r="G60" t="s">
        <v>79</v>
      </c>
    </row>
    <row r="61" spans="1:10" x14ac:dyDescent="0.3">
      <c r="A61" t="s">
        <v>38</v>
      </c>
      <c r="B61">
        <v>85</v>
      </c>
      <c r="C61" t="s">
        <v>44</v>
      </c>
      <c r="H61">
        <v>900</v>
      </c>
      <c r="I61" t="s">
        <v>80</v>
      </c>
      <c r="J61">
        <f>+H58</f>
        <v>0.75</v>
      </c>
    </row>
    <row r="62" spans="1:10" x14ac:dyDescent="0.3">
      <c r="A62" t="s">
        <v>40</v>
      </c>
      <c r="B62">
        <v>64</v>
      </c>
      <c r="C62" t="s">
        <v>44</v>
      </c>
      <c r="H62" s="21">
        <f>+H61*J61</f>
        <v>675</v>
      </c>
    </row>
    <row r="63" spans="1:10" x14ac:dyDescent="0.3">
      <c r="A63" t="s">
        <v>81</v>
      </c>
    </row>
    <row r="64" spans="1:10" x14ac:dyDescent="0.3">
      <c r="A64" t="s">
        <v>82</v>
      </c>
    </row>
    <row r="66" spans="1:9" x14ac:dyDescent="0.3">
      <c r="A66" s="1" t="s">
        <v>83</v>
      </c>
    </row>
    <row r="67" spans="1:9" x14ac:dyDescent="0.3">
      <c r="A67" t="s">
        <v>84</v>
      </c>
    </row>
    <row r="68" spans="1:9" x14ac:dyDescent="0.3">
      <c r="A68" t="s">
        <v>85</v>
      </c>
    </row>
    <row r="70" spans="1:9" x14ac:dyDescent="0.3">
      <c r="A70" s="30" t="s">
        <v>86</v>
      </c>
      <c r="B70" s="31"/>
      <c r="C70" s="31"/>
      <c r="D70" s="30" t="s">
        <v>87</v>
      </c>
      <c r="E70" s="31"/>
      <c r="F70" s="31"/>
      <c r="G70" s="31" t="s">
        <v>88</v>
      </c>
      <c r="H70" s="31">
        <v>900</v>
      </c>
      <c r="I70" t="s">
        <v>89</v>
      </c>
    </row>
    <row r="71" spans="1:9" x14ac:dyDescent="0.3">
      <c r="A71" s="30" t="s">
        <v>90</v>
      </c>
      <c r="B71" s="32"/>
      <c r="C71" s="31"/>
      <c r="D71" s="31"/>
      <c r="E71" s="31"/>
      <c r="F71" s="31"/>
      <c r="G71" s="31"/>
      <c r="H71" s="31"/>
    </row>
    <row r="72" spans="1:9" x14ac:dyDescent="0.3">
      <c r="A72" s="33" t="s">
        <v>91</v>
      </c>
      <c r="B72" s="34"/>
      <c r="C72" s="34"/>
      <c r="D72" s="35"/>
      <c r="E72" s="36" t="s">
        <v>92</v>
      </c>
      <c r="F72" s="37"/>
      <c r="G72" s="37"/>
      <c r="H72" s="38"/>
    </row>
    <row r="73" spans="1:9" x14ac:dyDescent="0.3">
      <c r="A73" s="39" t="s">
        <v>93</v>
      </c>
      <c r="B73" s="39" t="s">
        <v>94</v>
      </c>
      <c r="C73" s="40" t="s">
        <v>95</v>
      </c>
      <c r="D73" s="41" t="s">
        <v>96</v>
      </c>
      <c r="E73" s="42" t="s">
        <v>97</v>
      </c>
      <c r="F73" s="42" t="s">
        <v>94</v>
      </c>
      <c r="G73" s="43" t="s">
        <v>98</v>
      </c>
      <c r="H73" s="44" t="s">
        <v>96</v>
      </c>
    </row>
    <row r="74" spans="1:9" x14ac:dyDescent="0.3">
      <c r="A74" s="45">
        <v>45473</v>
      </c>
      <c r="B74" s="46">
        <v>240</v>
      </c>
      <c r="C74" s="47">
        <v>1.1499999999999999</v>
      </c>
      <c r="D74" s="12">
        <v>276</v>
      </c>
      <c r="E74" s="48" t="s">
        <v>99</v>
      </c>
      <c r="F74" s="48">
        <v>85</v>
      </c>
      <c r="G74" s="49">
        <v>4.18</v>
      </c>
      <c r="H74" s="50">
        <f>+F74*G74</f>
        <v>355.29999999999995</v>
      </c>
    </row>
    <row r="75" spans="1:9" x14ac:dyDescent="0.3">
      <c r="A75" s="46"/>
      <c r="B75" s="46"/>
      <c r="C75" s="51"/>
      <c r="D75" s="11"/>
      <c r="E75" s="48"/>
      <c r="F75" s="48"/>
      <c r="G75" s="52"/>
      <c r="H75" s="53"/>
    </row>
    <row r="76" spans="1:9" x14ac:dyDescent="0.3">
      <c r="A76" s="46"/>
      <c r="B76" s="46"/>
      <c r="C76" s="51"/>
      <c r="D76" s="11"/>
      <c r="E76" s="48"/>
      <c r="F76" s="48"/>
      <c r="G76" s="54"/>
      <c r="H76" s="53"/>
    </row>
    <row r="77" spans="1:9" x14ac:dyDescent="0.3">
      <c r="A77" s="46"/>
      <c r="B77" s="46"/>
      <c r="C77" s="51"/>
      <c r="D77" s="55"/>
      <c r="E77" s="48"/>
      <c r="F77" s="48"/>
      <c r="G77" s="54"/>
      <c r="H77" s="56"/>
    </row>
    <row r="78" spans="1:9" x14ac:dyDescent="0.3">
      <c r="A78" s="57"/>
      <c r="B78" s="57"/>
      <c r="C78" s="58"/>
      <c r="D78" s="59"/>
      <c r="E78" s="60"/>
      <c r="F78" s="60"/>
      <c r="G78" s="61"/>
      <c r="H78" s="62"/>
    </row>
    <row r="79" spans="1:9" x14ac:dyDescent="0.3">
      <c r="A79" s="63" t="s">
        <v>100</v>
      </c>
      <c r="B79" s="64"/>
      <c r="C79" s="64"/>
      <c r="D79" s="65"/>
      <c r="E79" s="66"/>
      <c r="F79" s="67"/>
      <c r="G79" s="67" t="s">
        <v>101</v>
      </c>
      <c r="H79" s="68"/>
    </row>
    <row r="80" spans="1:9" x14ac:dyDescent="0.3">
      <c r="A80" s="69" t="s">
        <v>97</v>
      </c>
      <c r="B80" s="70" t="s">
        <v>102</v>
      </c>
      <c r="C80" s="70" t="s">
        <v>95</v>
      </c>
      <c r="D80" s="71" t="s">
        <v>103</v>
      </c>
      <c r="E80" s="72"/>
      <c r="F80" s="31"/>
      <c r="G80" s="31"/>
      <c r="H80" s="73"/>
    </row>
    <row r="81" spans="1:8" x14ac:dyDescent="0.3">
      <c r="A81" s="74" t="s">
        <v>104</v>
      </c>
      <c r="B81" s="75">
        <v>175</v>
      </c>
      <c r="C81" s="76">
        <v>2.4500000000000002</v>
      </c>
      <c r="D81" s="77">
        <v>428.75</v>
      </c>
      <c r="E81" s="72" t="s">
        <v>105</v>
      </c>
      <c r="F81" s="31"/>
      <c r="G81" s="31"/>
      <c r="H81" s="78">
        <f>+D74</f>
        <v>276</v>
      </c>
    </row>
    <row r="82" spans="1:8" x14ac:dyDescent="0.3">
      <c r="A82" s="74" t="s">
        <v>106</v>
      </c>
      <c r="B82" s="75">
        <v>64</v>
      </c>
      <c r="C82" s="79">
        <v>3.78</v>
      </c>
      <c r="D82" s="80">
        <f>+B82*C82</f>
        <v>241.92</v>
      </c>
      <c r="E82" s="72" t="s">
        <v>107</v>
      </c>
      <c r="F82" s="31"/>
      <c r="G82" s="31"/>
      <c r="H82" s="78">
        <f>+H74</f>
        <v>355.29999999999995</v>
      </c>
    </row>
    <row r="83" spans="1:8" x14ac:dyDescent="0.3">
      <c r="A83" s="74" t="s">
        <v>108</v>
      </c>
      <c r="B83" s="75"/>
      <c r="C83" s="75"/>
      <c r="D83" s="80">
        <f>+E46</f>
        <v>80.808000000000007</v>
      </c>
      <c r="E83" s="72" t="s">
        <v>109</v>
      </c>
      <c r="F83" s="31"/>
      <c r="G83" s="31"/>
      <c r="H83" s="78">
        <f>SUM(D81:D84)</f>
        <v>1426.4780000000001</v>
      </c>
    </row>
    <row r="84" spans="1:8" x14ac:dyDescent="0.3">
      <c r="A84" s="74" t="s">
        <v>110</v>
      </c>
      <c r="B84" s="75"/>
      <c r="C84" s="79"/>
      <c r="D84" s="80">
        <f>+H62</f>
        <v>675</v>
      </c>
      <c r="E84" s="81" t="s">
        <v>111</v>
      </c>
      <c r="F84" s="31"/>
      <c r="G84" s="31"/>
      <c r="H84" s="78">
        <f>SUM(H81:H83)</f>
        <v>2057.7780000000002</v>
      </c>
    </row>
    <row r="85" spans="1:8" x14ac:dyDescent="0.3">
      <c r="A85" s="74"/>
      <c r="B85" s="75"/>
      <c r="C85" s="75"/>
      <c r="D85" s="82"/>
      <c r="E85" s="72" t="s">
        <v>112</v>
      </c>
      <c r="F85" s="31"/>
      <c r="G85" s="31"/>
      <c r="H85" s="32">
        <v>900</v>
      </c>
    </row>
    <row r="86" spans="1:8" x14ac:dyDescent="0.3">
      <c r="A86" s="83"/>
      <c r="B86" s="84"/>
      <c r="C86" s="84"/>
      <c r="D86" s="85"/>
      <c r="E86" s="86" t="s">
        <v>113</v>
      </c>
      <c r="F86" s="87"/>
      <c r="G86" s="31"/>
      <c r="H86" s="78">
        <f>+H84/H85</f>
        <v>2.2864200000000001</v>
      </c>
    </row>
  </sheetData>
  <mergeCells count="13">
    <mergeCell ref="A72:D72"/>
    <mergeCell ref="E72:H72"/>
    <mergeCell ref="A79:D79"/>
    <mergeCell ref="A15:A16"/>
    <mergeCell ref="B15:B16"/>
    <mergeCell ref="C15:E15"/>
    <mergeCell ref="F15:H15"/>
    <mergeCell ref="I15:K15"/>
    <mergeCell ref="A22:A23"/>
    <mergeCell ref="B22:B23"/>
    <mergeCell ref="C22:E22"/>
    <mergeCell ref="F22:H22"/>
    <mergeCell ref="I22:K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3FF0B487-1DCF-4FCF-8E4D-3AA3365CD1B1}"/>
</file>

<file path=customXml/itemProps2.xml><?xml version="1.0" encoding="utf-8"?>
<ds:datastoreItem xmlns:ds="http://schemas.openxmlformats.org/officeDocument/2006/customXml" ds:itemID="{E39F9862-8AD6-4D02-9355-32E3E22B7722}"/>
</file>

<file path=customXml/itemProps3.xml><?xml version="1.0" encoding="utf-8"?>
<ds:datastoreItem xmlns:ds="http://schemas.openxmlformats.org/officeDocument/2006/customXml" ds:itemID="{4949DF4C-1C5D-4287-AAD9-591FB9AF0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2026-04-21T00:41:49Z</dcterms:created>
  <dcterms:modified xsi:type="dcterms:W3CDTF">2026-04-21T00:42:57Z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